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5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lecoz\Documents\lecoz\Hydrometrie\_Head_Rod\feuille_RaJ\"/>
    </mc:Choice>
  </mc:AlternateContent>
  <bookViews>
    <workbookView xWindow="0" yWindow="0" windowWidth="19200" windowHeight="6480" tabRatio="500" activeTab="3"/>
  </bookViews>
  <sheets>
    <sheet name="ENG" sheetId="57" r:id="rId1"/>
    <sheet name="FR" sheetId="56" r:id="rId2"/>
    <sheet name="ENG_example" sheetId="42" r:id="rId3"/>
    <sheet name="FR_exemple" sheetId="52" r:id="rId4"/>
  </sheets>
  <calcPr calcId="162913"/>
</workbook>
</file>

<file path=xl/calcChain.xml><?xml version="1.0" encoding="utf-8"?>
<calcChain xmlns="http://schemas.openxmlformats.org/spreadsheetml/2006/main">
  <c r="E2" i="42" l="1"/>
  <c r="E2" i="52"/>
  <c r="F1" i="52"/>
  <c r="BO42" i="57" l="1"/>
  <c r="BJ42" i="57"/>
  <c r="BI42" i="57"/>
  <c r="BH42" i="57"/>
  <c r="BG42" i="57"/>
  <c r="BF42" i="57"/>
  <c r="BA42" i="57"/>
  <c r="AN42" i="57"/>
  <c r="AL42" i="57"/>
  <c r="AC42" i="57"/>
  <c r="W42" i="57"/>
  <c r="T42" i="57"/>
  <c r="P42" i="57"/>
  <c r="N42" i="57"/>
  <c r="M42" i="57"/>
  <c r="AI42" i="57" s="1"/>
  <c r="L42" i="57"/>
  <c r="BP42" i="57" s="1"/>
  <c r="K42" i="57"/>
  <c r="J42" i="57"/>
  <c r="I42" i="57"/>
  <c r="BK42" i="57" s="1"/>
  <c r="H42" i="57"/>
  <c r="BO41" i="57"/>
  <c r="BJ41" i="57"/>
  <c r="BI41" i="57"/>
  <c r="BH41" i="57"/>
  <c r="BG41" i="57"/>
  <c r="BF41" i="57"/>
  <c r="BA41" i="57"/>
  <c r="AN41" i="57"/>
  <c r="AL41" i="57"/>
  <c r="AC41" i="57"/>
  <c r="W41" i="57"/>
  <c r="N41" i="57"/>
  <c r="M41" i="57"/>
  <c r="AI41" i="57" s="1"/>
  <c r="L41" i="57"/>
  <c r="K41" i="57"/>
  <c r="J41" i="57"/>
  <c r="I41" i="57"/>
  <c r="BK41" i="57" s="1"/>
  <c r="H41" i="57"/>
  <c r="BO40" i="57"/>
  <c r="BJ40" i="57"/>
  <c r="BI40" i="57"/>
  <c r="BH40" i="57"/>
  <c r="BG40" i="57"/>
  <c r="BF40" i="57"/>
  <c r="BA40" i="57"/>
  <c r="AN40" i="57"/>
  <c r="AL40" i="57"/>
  <c r="AC40" i="57"/>
  <c r="W40" i="57"/>
  <c r="N40" i="57"/>
  <c r="M40" i="57"/>
  <c r="AH40" i="57" s="1"/>
  <c r="L40" i="57"/>
  <c r="AP40" i="57" s="1"/>
  <c r="AR40" i="57" s="1"/>
  <c r="K40" i="57"/>
  <c r="J40" i="57"/>
  <c r="I40" i="57"/>
  <c r="BK40" i="57" s="1"/>
  <c r="H40" i="57"/>
  <c r="BO39" i="57"/>
  <c r="BJ39" i="57"/>
  <c r="BI39" i="57"/>
  <c r="BH39" i="57"/>
  <c r="BG39" i="57"/>
  <c r="BF39" i="57"/>
  <c r="BA39" i="57"/>
  <c r="AN39" i="57"/>
  <c r="AL39" i="57"/>
  <c r="AC39" i="57"/>
  <c r="W39" i="57"/>
  <c r="N39" i="57"/>
  <c r="M39" i="57"/>
  <c r="AH39" i="57" s="1"/>
  <c r="L39" i="57"/>
  <c r="K39" i="57"/>
  <c r="J39" i="57"/>
  <c r="I39" i="57"/>
  <c r="BK39" i="57" s="1"/>
  <c r="H39" i="57"/>
  <c r="BO38" i="57"/>
  <c r="BJ38" i="57"/>
  <c r="BI38" i="57"/>
  <c r="BH38" i="57"/>
  <c r="BG38" i="57"/>
  <c r="BF38" i="57"/>
  <c r="BA38" i="57"/>
  <c r="AN38" i="57"/>
  <c r="AL38" i="57"/>
  <c r="AC38" i="57"/>
  <c r="W38" i="57"/>
  <c r="N38" i="57"/>
  <c r="M38" i="57"/>
  <c r="L38" i="57"/>
  <c r="AP38" i="57" s="1"/>
  <c r="AQ38" i="57" s="1"/>
  <c r="K38" i="57"/>
  <c r="J38" i="57"/>
  <c r="I38" i="57"/>
  <c r="BK38" i="57" s="1"/>
  <c r="H38" i="57"/>
  <c r="BO37" i="57"/>
  <c r="BJ37" i="57"/>
  <c r="BI37" i="57"/>
  <c r="BH37" i="57"/>
  <c r="BG37" i="57"/>
  <c r="BF37" i="57"/>
  <c r="BA37" i="57"/>
  <c r="AN37" i="57"/>
  <c r="AL37" i="57"/>
  <c r="AC37" i="57"/>
  <c r="W37" i="57"/>
  <c r="N37" i="57"/>
  <c r="M37" i="57"/>
  <c r="AH37" i="57" s="1"/>
  <c r="L37" i="57"/>
  <c r="AP37" i="57" s="1"/>
  <c r="AZ37" i="57" s="1"/>
  <c r="K37" i="57"/>
  <c r="J37" i="57"/>
  <c r="I37" i="57"/>
  <c r="BK37" i="57" s="1"/>
  <c r="H37" i="57"/>
  <c r="BO36" i="57"/>
  <c r="BJ36" i="57"/>
  <c r="BI36" i="57"/>
  <c r="BH36" i="57"/>
  <c r="BG36" i="57"/>
  <c r="BF36" i="57"/>
  <c r="BA36" i="57"/>
  <c r="AN36" i="57"/>
  <c r="AL36" i="57"/>
  <c r="AC36" i="57"/>
  <c r="W36" i="57"/>
  <c r="N36" i="57"/>
  <c r="M36" i="57"/>
  <c r="L36" i="57"/>
  <c r="BP36" i="57" s="1"/>
  <c r="K36" i="57"/>
  <c r="J36" i="57"/>
  <c r="I36" i="57"/>
  <c r="BK36" i="57" s="1"/>
  <c r="H36" i="57"/>
  <c r="BO35" i="57"/>
  <c r="BK35" i="57"/>
  <c r="BJ35" i="57"/>
  <c r="BI35" i="57"/>
  <c r="BH35" i="57"/>
  <c r="BG35" i="57"/>
  <c r="BF35" i="57"/>
  <c r="BD35" i="57"/>
  <c r="BA35" i="57"/>
  <c r="AP35" i="57"/>
  <c r="AN35" i="57"/>
  <c r="AL35" i="57"/>
  <c r="AC35" i="57"/>
  <c r="W35" i="57"/>
  <c r="N35" i="57"/>
  <c r="M35" i="57"/>
  <c r="AH35" i="57" s="1"/>
  <c r="L35" i="57"/>
  <c r="BP35" i="57" s="1"/>
  <c r="K35" i="57"/>
  <c r="J35" i="57"/>
  <c r="I35" i="57"/>
  <c r="H35" i="57"/>
  <c r="BO34" i="57"/>
  <c r="BJ34" i="57"/>
  <c r="BI34" i="57"/>
  <c r="BH34" i="57"/>
  <c r="BG34" i="57"/>
  <c r="BF34" i="57"/>
  <c r="BA34" i="57"/>
  <c r="AN34" i="57"/>
  <c r="AL34" i="57"/>
  <c r="AC34" i="57"/>
  <c r="W34" i="57"/>
  <c r="N34" i="57"/>
  <c r="M34" i="57"/>
  <c r="AI34" i="57" s="1"/>
  <c r="L34" i="57"/>
  <c r="BP34" i="57" s="1"/>
  <c r="K34" i="57"/>
  <c r="J34" i="57"/>
  <c r="I34" i="57"/>
  <c r="BK34" i="57" s="1"/>
  <c r="H34" i="57"/>
  <c r="BO33" i="57"/>
  <c r="BJ33" i="57"/>
  <c r="BI33" i="57"/>
  <c r="BH33" i="57"/>
  <c r="BG33" i="57"/>
  <c r="BF33" i="57"/>
  <c r="BA33" i="57"/>
  <c r="AN33" i="57"/>
  <c r="AL33" i="57"/>
  <c r="AJ33" i="57"/>
  <c r="AC33" i="57"/>
  <c r="W33" i="57"/>
  <c r="N33" i="57"/>
  <c r="M33" i="57"/>
  <c r="AI33" i="57" s="1"/>
  <c r="L33" i="57"/>
  <c r="AP33" i="57" s="1"/>
  <c r="K33" i="57"/>
  <c r="J33" i="57"/>
  <c r="I33" i="57"/>
  <c r="BK33" i="57" s="1"/>
  <c r="H33" i="57"/>
  <c r="BO32" i="57"/>
  <c r="BJ32" i="57"/>
  <c r="BI32" i="57"/>
  <c r="BH32" i="57"/>
  <c r="BG32" i="57"/>
  <c r="BF32" i="57"/>
  <c r="BA32" i="57"/>
  <c r="AN32" i="57"/>
  <c r="AL32" i="57"/>
  <c r="AC32" i="57"/>
  <c r="W32" i="57"/>
  <c r="N32" i="57"/>
  <c r="M32" i="57"/>
  <c r="AF32" i="57" s="1"/>
  <c r="L32" i="57"/>
  <c r="AP32" i="57" s="1"/>
  <c r="AQ32" i="57" s="1"/>
  <c r="K32" i="57"/>
  <c r="J32" i="57"/>
  <c r="I32" i="57"/>
  <c r="BK32" i="57" s="1"/>
  <c r="H32" i="57"/>
  <c r="BO31" i="57"/>
  <c r="BE31" i="57"/>
  <c r="BC31" i="57"/>
  <c r="AN31" i="57"/>
  <c r="AL31" i="57"/>
  <c r="AC31" i="57"/>
  <c r="W31" i="57"/>
  <c r="N31" i="57"/>
  <c r="K31" i="57"/>
  <c r="I31" i="57"/>
  <c r="H31" i="57"/>
  <c r="AN30" i="57"/>
  <c r="BE29" i="57" s="1"/>
  <c r="AC30" i="57"/>
  <c r="W30" i="57"/>
  <c r="N30" i="57"/>
  <c r="K30" i="57"/>
  <c r="H30" i="57"/>
  <c r="AN29" i="57"/>
  <c r="AC29" i="57"/>
  <c r="N29" i="57"/>
  <c r="K29" i="57"/>
  <c r="H29" i="57"/>
  <c r="I29" i="57" s="1"/>
  <c r="BJ29" i="57" s="1"/>
  <c r="AN28" i="57"/>
  <c r="BA28" i="57" s="1"/>
  <c r="AC28" i="57"/>
  <c r="N28" i="57"/>
  <c r="K28" i="57"/>
  <c r="H28" i="57"/>
  <c r="I28" i="57" s="1"/>
  <c r="AN27" i="57"/>
  <c r="BD27" i="57" s="1"/>
  <c r="AC27" i="57"/>
  <c r="N27" i="57"/>
  <c r="K27" i="57"/>
  <c r="H27" i="57"/>
  <c r="I27" i="57" s="1"/>
  <c r="BS26" i="57"/>
  <c r="AN26" i="57"/>
  <c r="AC26" i="57"/>
  <c r="N26" i="57"/>
  <c r="K26" i="57"/>
  <c r="H26" i="57"/>
  <c r="I26" i="57" s="1"/>
  <c r="BS25" i="57"/>
  <c r="AN25" i="57"/>
  <c r="BE24" i="57" s="1"/>
  <c r="AC25" i="57"/>
  <c r="N25" i="57"/>
  <c r="K25" i="57"/>
  <c r="H25" i="57"/>
  <c r="I25" i="57" s="1"/>
  <c r="J25" i="57" s="1"/>
  <c r="AL25" i="57" s="1"/>
  <c r="AN24" i="57"/>
  <c r="AC24" i="57"/>
  <c r="N24" i="57"/>
  <c r="K24" i="57"/>
  <c r="H24" i="57"/>
  <c r="I24" i="57" s="1"/>
  <c r="W24" i="57" s="1"/>
  <c r="BS23" i="57"/>
  <c r="AN23" i="57"/>
  <c r="AC23" i="57"/>
  <c r="N23" i="57"/>
  <c r="K23" i="57"/>
  <c r="H23" i="57"/>
  <c r="I23" i="57" s="1"/>
  <c r="J23" i="57" s="1"/>
  <c r="AL23" i="57" s="1"/>
  <c r="BS22" i="57"/>
  <c r="AN22" i="57"/>
  <c r="BA22" i="57" s="1"/>
  <c r="AC22" i="57"/>
  <c r="N22" i="57"/>
  <c r="K22" i="57"/>
  <c r="H22" i="57"/>
  <c r="I22" i="57" s="1"/>
  <c r="BS21" i="57"/>
  <c r="AN21" i="57"/>
  <c r="AC21" i="57"/>
  <c r="Z21" i="57"/>
  <c r="AA21" i="57" s="1"/>
  <c r="Y21" i="57"/>
  <c r="N21" i="57"/>
  <c r="K21" i="57"/>
  <c r="H21" i="57"/>
  <c r="I21" i="57" s="1"/>
  <c r="BA20" i="57"/>
  <c r="AN20" i="57"/>
  <c r="AC20" i="57"/>
  <c r="AA20" i="57"/>
  <c r="N20" i="57"/>
  <c r="K20" i="57"/>
  <c r="H20" i="57"/>
  <c r="I20" i="57" s="1"/>
  <c r="J20" i="57" s="1"/>
  <c r="AL20" i="57" s="1"/>
  <c r="BT19" i="57"/>
  <c r="BT22" i="57" s="1"/>
  <c r="AN19" i="57"/>
  <c r="BO18" i="57" s="1"/>
  <c r="AC19" i="57"/>
  <c r="N19" i="57"/>
  <c r="BV23" i="57" s="1"/>
  <c r="K19" i="57"/>
  <c r="H19" i="57"/>
  <c r="I19" i="57" s="1"/>
  <c r="BT18" i="57"/>
  <c r="BT20" i="57" s="1"/>
  <c r="BT23" i="57" s="1"/>
  <c r="BT26" i="57" s="1"/>
  <c r="BT29" i="57" s="1"/>
  <c r="BT32" i="57" s="1"/>
  <c r="BT35" i="57" s="1"/>
  <c r="BT38" i="57" s="1"/>
  <c r="BT41" i="57" s="1"/>
  <c r="BT44" i="57" s="1"/>
  <c r="BT47" i="57" s="1"/>
  <c r="BT50" i="57" s="1"/>
  <c r="BT53" i="57" s="1"/>
  <c r="BT56" i="57" s="1"/>
  <c r="BT59" i="57" s="1"/>
  <c r="BT62" i="57" s="1"/>
  <c r="BT65" i="57" s="1"/>
  <c r="BT68" i="57" s="1"/>
  <c r="BT71" i="57" s="1"/>
  <c r="BT74" i="57" s="1"/>
  <c r="BT77" i="57" s="1"/>
  <c r="BT80" i="57" s="1"/>
  <c r="BT83" i="57" s="1"/>
  <c r="BT86" i="57" s="1"/>
  <c r="BT89" i="57" s="1"/>
  <c r="BT92" i="57" s="1"/>
  <c r="AN18" i="57"/>
  <c r="BD18" i="57" s="1"/>
  <c r="AC18" i="57"/>
  <c r="Z18" i="57"/>
  <c r="AA18" i="57" s="1"/>
  <c r="N18" i="57"/>
  <c r="BV20" i="57" s="1"/>
  <c r="K18" i="57"/>
  <c r="H18" i="57"/>
  <c r="I18" i="57" s="1"/>
  <c r="L18" i="57" s="1"/>
  <c r="BD17" i="57"/>
  <c r="BB17" i="57"/>
  <c r="AT17" i="57"/>
  <c r="AR17" i="57"/>
  <c r="AQ17" i="57"/>
  <c r="AL17" i="57"/>
  <c r="AC17" i="57"/>
  <c r="AA17" i="57"/>
  <c r="W17" i="57"/>
  <c r="T17" i="57"/>
  <c r="Y20" i="57" s="1"/>
  <c r="S17" i="57"/>
  <c r="P17" i="57"/>
  <c r="Y17" i="57" s="1"/>
  <c r="O17" i="57"/>
  <c r="N17" i="57"/>
  <c r="K17" i="57"/>
  <c r="H17" i="57"/>
  <c r="AS9" i="57"/>
  <c r="AC9" i="57"/>
  <c r="BC4" i="57"/>
  <c r="AS4" i="57"/>
  <c r="AF4" i="57"/>
  <c r="W1" i="57"/>
  <c r="W3" i="57" s="1"/>
  <c r="BO42" i="56"/>
  <c r="BJ42" i="56"/>
  <c r="BI42" i="56"/>
  <c r="BH42" i="56"/>
  <c r="BG42" i="56"/>
  <c r="BF42" i="56"/>
  <c r="BE42" i="56"/>
  <c r="BA42" i="56"/>
  <c r="AN42" i="56"/>
  <c r="AL42" i="56"/>
  <c r="AC42" i="56"/>
  <c r="W42" i="56"/>
  <c r="T42" i="56"/>
  <c r="P42" i="56"/>
  <c r="N42" i="56"/>
  <c r="M42" i="56"/>
  <c r="AI42" i="56" s="1"/>
  <c r="L42" i="56"/>
  <c r="AP42" i="56" s="1"/>
  <c r="K42" i="56"/>
  <c r="J42" i="56"/>
  <c r="I42" i="56"/>
  <c r="BK42" i="56" s="1"/>
  <c r="H42" i="56"/>
  <c r="BO41" i="56"/>
  <c r="BJ41" i="56"/>
  <c r="BI41" i="56"/>
  <c r="BH41" i="56"/>
  <c r="BG41" i="56"/>
  <c r="BF41" i="56"/>
  <c r="BE41" i="56"/>
  <c r="BA41" i="56"/>
  <c r="AN41" i="56"/>
  <c r="AL41" i="56"/>
  <c r="AM41" i="56" s="1"/>
  <c r="AC41" i="56"/>
  <c r="W41" i="56"/>
  <c r="N41" i="56"/>
  <c r="M41" i="56"/>
  <c r="L41" i="56"/>
  <c r="AP41" i="56" s="1"/>
  <c r="AZ41" i="56" s="1"/>
  <c r="K41" i="56"/>
  <c r="J41" i="56"/>
  <c r="I41" i="56"/>
  <c r="BK41" i="56" s="1"/>
  <c r="H41" i="56"/>
  <c r="BO40" i="56"/>
  <c r="BJ40" i="56"/>
  <c r="BI40" i="56"/>
  <c r="BH40" i="56"/>
  <c r="BG40" i="56"/>
  <c r="BF40" i="56"/>
  <c r="BD40" i="56"/>
  <c r="BC40" i="56"/>
  <c r="BB40" i="56"/>
  <c r="BA40" i="56"/>
  <c r="AN40" i="56"/>
  <c r="AL40" i="56"/>
  <c r="AC40" i="56"/>
  <c r="W40" i="56"/>
  <c r="N40" i="56"/>
  <c r="M40" i="56"/>
  <c r="AI40" i="56" s="1"/>
  <c r="L40" i="56"/>
  <c r="BP40" i="56" s="1"/>
  <c r="K40" i="56"/>
  <c r="J40" i="56"/>
  <c r="I40" i="56"/>
  <c r="BK40" i="56" s="1"/>
  <c r="H40" i="56"/>
  <c r="BO39" i="56"/>
  <c r="BJ39" i="56"/>
  <c r="BI39" i="56"/>
  <c r="BH39" i="56"/>
  <c r="BG39" i="56"/>
  <c r="BF39" i="56"/>
  <c r="BC39" i="56"/>
  <c r="BB39" i="56"/>
  <c r="BA39" i="56"/>
  <c r="AN39" i="56"/>
  <c r="AL39" i="56"/>
  <c r="AC39" i="56"/>
  <c r="W39" i="56"/>
  <c r="N39" i="56"/>
  <c r="M39" i="56"/>
  <c r="AI39" i="56" s="1"/>
  <c r="L39" i="56"/>
  <c r="AP39" i="56" s="1"/>
  <c r="K39" i="56"/>
  <c r="J39" i="56"/>
  <c r="I39" i="56"/>
  <c r="BK39" i="56" s="1"/>
  <c r="H39" i="56"/>
  <c r="BO38" i="56"/>
  <c r="BJ38" i="56"/>
  <c r="BI38" i="56"/>
  <c r="BH38" i="56"/>
  <c r="BG38" i="56"/>
  <c r="BF38" i="56"/>
  <c r="BE38" i="56"/>
  <c r="BB38" i="56"/>
  <c r="BA38" i="56"/>
  <c r="AN38" i="56"/>
  <c r="AL38" i="56"/>
  <c r="AI38" i="56"/>
  <c r="AC38" i="56"/>
  <c r="W38" i="56"/>
  <c r="N38" i="56"/>
  <c r="M38" i="56"/>
  <c r="AH38" i="56" s="1"/>
  <c r="L38" i="56"/>
  <c r="AP38" i="56" s="1"/>
  <c r="AJ38" i="56" s="1"/>
  <c r="K38" i="56"/>
  <c r="J38" i="56"/>
  <c r="I38" i="56"/>
  <c r="BK38" i="56" s="1"/>
  <c r="H38" i="56"/>
  <c r="BO37" i="56"/>
  <c r="BJ37" i="56"/>
  <c r="BI37" i="56"/>
  <c r="BH37" i="56"/>
  <c r="BG37" i="56"/>
  <c r="BF37" i="56"/>
  <c r="BE37" i="56"/>
  <c r="BA37" i="56"/>
  <c r="AN37" i="56"/>
  <c r="AL37" i="56"/>
  <c r="AC37" i="56"/>
  <c r="W37" i="56"/>
  <c r="N37" i="56"/>
  <c r="M37" i="56"/>
  <c r="AH37" i="56" s="1"/>
  <c r="L37" i="56"/>
  <c r="AP37" i="56" s="1"/>
  <c r="AS37" i="56" s="1"/>
  <c r="K37" i="56"/>
  <c r="J37" i="56"/>
  <c r="I37" i="56"/>
  <c r="BK37" i="56" s="1"/>
  <c r="H37" i="56"/>
  <c r="BO36" i="56"/>
  <c r="BJ36" i="56"/>
  <c r="BI36" i="56"/>
  <c r="BH36" i="56"/>
  <c r="BG36" i="56"/>
  <c r="BF36" i="56"/>
  <c r="BA36" i="56"/>
  <c r="AN36" i="56"/>
  <c r="AL36" i="56"/>
  <c r="AC36" i="56"/>
  <c r="W36" i="56"/>
  <c r="N36" i="56"/>
  <c r="M36" i="56"/>
  <c r="L36" i="56"/>
  <c r="K36" i="56"/>
  <c r="J36" i="56"/>
  <c r="I36" i="56"/>
  <c r="BK36" i="56" s="1"/>
  <c r="H36" i="56"/>
  <c r="BO35" i="56"/>
  <c r="BJ35" i="56"/>
  <c r="BI35" i="56"/>
  <c r="BH35" i="56"/>
  <c r="BG35" i="56"/>
  <c r="BF35" i="56"/>
  <c r="BA35" i="56"/>
  <c r="AP35" i="56"/>
  <c r="AN35" i="56"/>
  <c r="AL35" i="56"/>
  <c r="AC35" i="56"/>
  <c r="W35" i="56"/>
  <c r="N35" i="56"/>
  <c r="M35" i="56"/>
  <c r="L35" i="56"/>
  <c r="BP35" i="56" s="1"/>
  <c r="K35" i="56"/>
  <c r="J35" i="56"/>
  <c r="I35" i="56"/>
  <c r="BK35" i="56" s="1"/>
  <c r="H35" i="56"/>
  <c r="BO34" i="56"/>
  <c r="BJ34" i="56"/>
  <c r="BI34" i="56"/>
  <c r="BH34" i="56"/>
  <c r="BG34" i="56"/>
  <c r="BF34" i="56"/>
  <c r="BB34" i="56"/>
  <c r="BA34" i="56"/>
  <c r="AN34" i="56"/>
  <c r="AL34" i="56"/>
  <c r="AC34" i="56"/>
  <c r="W34" i="56"/>
  <c r="N34" i="56"/>
  <c r="M34" i="56"/>
  <c r="AF34" i="56" s="1"/>
  <c r="L34" i="56"/>
  <c r="AP34" i="56" s="1"/>
  <c r="AZ34" i="56" s="1"/>
  <c r="K34" i="56"/>
  <c r="J34" i="56"/>
  <c r="I34" i="56"/>
  <c r="BK34" i="56" s="1"/>
  <c r="H34" i="56"/>
  <c r="BO33" i="56"/>
  <c r="BJ33" i="56"/>
  <c r="BI33" i="56"/>
  <c r="BH33" i="56"/>
  <c r="BG33" i="56"/>
  <c r="BF33" i="56"/>
  <c r="BD33" i="56"/>
  <c r="BC33" i="56"/>
  <c r="BA33" i="56"/>
  <c r="AN33" i="56"/>
  <c r="AL33" i="56"/>
  <c r="AC33" i="56"/>
  <c r="W33" i="56"/>
  <c r="N33" i="56"/>
  <c r="M33" i="56"/>
  <c r="L33" i="56"/>
  <c r="AP33" i="56" s="1"/>
  <c r="K33" i="56"/>
  <c r="J33" i="56"/>
  <c r="I33" i="56"/>
  <c r="BK33" i="56" s="1"/>
  <c r="H33" i="56"/>
  <c r="BO32" i="56"/>
  <c r="BJ32" i="56"/>
  <c r="BI32" i="56"/>
  <c r="BH32" i="56"/>
  <c r="BG32" i="56"/>
  <c r="BF32" i="56"/>
  <c r="BD32" i="56"/>
  <c r="BA32" i="56"/>
  <c r="AN32" i="56"/>
  <c r="BE31" i="56" s="1"/>
  <c r="AL32" i="56"/>
  <c r="AC32" i="56"/>
  <c r="W32" i="56"/>
  <c r="N32" i="56"/>
  <c r="M32" i="56"/>
  <c r="AD32" i="56" s="1"/>
  <c r="L32" i="56"/>
  <c r="AP32" i="56" s="1"/>
  <c r="K32" i="56"/>
  <c r="J32" i="56"/>
  <c r="I32" i="56"/>
  <c r="BK32" i="56" s="1"/>
  <c r="H32" i="56"/>
  <c r="BT31" i="56"/>
  <c r="BT34" i="56" s="1"/>
  <c r="BT37" i="56" s="1"/>
  <c r="BT40" i="56" s="1"/>
  <c r="BT43" i="56" s="1"/>
  <c r="BT46" i="56" s="1"/>
  <c r="BT49" i="56" s="1"/>
  <c r="BT52" i="56" s="1"/>
  <c r="BT55" i="56" s="1"/>
  <c r="BT58" i="56" s="1"/>
  <c r="BT61" i="56" s="1"/>
  <c r="BT64" i="56" s="1"/>
  <c r="BT67" i="56" s="1"/>
  <c r="BT70" i="56" s="1"/>
  <c r="BT73" i="56" s="1"/>
  <c r="BT76" i="56" s="1"/>
  <c r="BT79" i="56" s="1"/>
  <c r="BT82" i="56" s="1"/>
  <c r="BT85" i="56" s="1"/>
  <c r="BT88" i="56" s="1"/>
  <c r="BT91" i="56" s="1"/>
  <c r="BA31" i="56"/>
  <c r="AN31" i="56"/>
  <c r="BE30" i="56" s="1"/>
  <c r="AL31" i="56"/>
  <c r="AC31" i="56"/>
  <c r="W31" i="56"/>
  <c r="N31" i="56"/>
  <c r="K31" i="56"/>
  <c r="H31" i="56"/>
  <c r="BA30" i="56"/>
  <c r="AN30" i="56"/>
  <c r="BE29" i="56" s="1"/>
  <c r="AL30" i="56"/>
  <c r="AC30" i="56"/>
  <c r="N30" i="56"/>
  <c r="K30" i="56"/>
  <c r="H30" i="56"/>
  <c r="AN29" i="56"/>
  <c r="BC28" i="56" s="1"/>
  <c r="AC29" i="56"/>
  <c r="N29" i="56"/>
  <c r="K29" i="56"/>
  <c r="H29" i="56"/>
  <c r="I29" i="56" s="1"/>
  <c r="AN28" i="56"/>
  <c r="BD28" i="56" s="1"/>
  <c r="AC28" i="56"/>
  <c r="N28" i="56"/>
  <c r="K28" i="56"/>
  <c r="H28" i="56"/>
  <c r="I28" i="56" s="1"/>
  <c r="AN27" i="56"/>
  <c r="BD27" i="56" s="1"/>
  <c r="AC27" i="56"/>
  <c r="N27" i="56"/>
  <c r="K27" i="56"/>
  <c r="H27" i="56"/>
  <c r="I27" i="56" s="1"/>
  <c r="BS26" i="56"/>
  <c r="AN26" i="56"/>
  <c r="BC25" i="56" s="1"/>
  <c r="AC26" i="56"/>
  <c r="N26" i="56"/>
  <c r="K26" i="56"/>
  <c r="H26" i="56"/>
  <c r="I26" i="56" s="1"/>
  <c r="BS25" i="56"/>
  <c r="BS28" i="56" s="1"/>
  <c r="AN25" i="56"/>
  <c r="AC25" i="56"/>
  <c r="N25" i="56"/>
  <c r="K25" i="56"/>
  <c r="H25" i="56"/>
  <c r="I25" i="56" s="1"/>
  <c r="AN24" i="56"/>
  <c r="BE23" i="56" s="1"/>
  <c r="AC24" i="56"/>
  <c r="N24" i="56"/>
  <c r="K24" i="56"/>
  <c r="H24" i="56"/>
  <c r="I24" i="56" s="1"/>
  <c r="BS23" i="56"/>
  <c r="AN23" i="56"/>
  <c r="BC22" i="56" s="1"/>
  <c r="AC23" i="56"/>
  <c r="N23" i="56"/>
  <c r="K23" i="56"/>
  <c r="H23" i="56"/>
  <c r="I23" i="56" s="1"/>
  <c r="BT22" i="56"/>
  <c r="BT25" i="56" s="1"/>
  <c r="BT28" i="56" s="1"/>
  <c r="BS22" i="56"/>
  <c r="AN22" i="56"/>
  <c r="BE21" i="56" s="1"/>
  <c r="AC22" i="56"/>
  <c r="N22" i="56"/>
  <c r="K22" i="56"/>
  <c r="H22" i="56"/>
  <c r="I22" i="56" s="1"/>
  <c r="BS21" i="56"/>
  <c r="AN21" i="56"/>
  <c r="BE20" i="56" s="1"/>
  <c r="AC21" i="56"/>
  <c r="Z21" i="56"/>
  <c r="AA21" i="56" s="1"/>
  <c r="N21" i="56"/>
  <c r="K21" i="56"/>
  <c r="H21" i="56"/>
  <c r="I21" i="56" s="1"/>
  <c r="AN20" i="56"/>
  <c r="BD20" i="56" s="1"/>
  <c r="AC20" i="56"/>
  <c r="AA20" i="56"/>
  <c r="N20" i="56"/>
  <c r="K20" i="56"/>
  <c r="H20" i="56"/>
  <c r="I20" i="56" s="1"/>
  <c r="BT19" i="56"/>
  <c r="AN19" i="56"/>
  <c r="AC19" i="56"/>
  <c r="N19" i="56"/>
  <c r="K19" i="56"/>
  <c r="H19" i="56"/>
  <c r="I19" i="56" s="1"/>
  <c r="BT18" i="56"/>
  <c r="BT20" i="56" s="1"/>
  <c r="BT23" i="56" s="1"/>
  <c r="BT26" i="56" s="1"/>
  <c r="BT29" i="56" s="1"/>
  <c r="BT32" i="56" s="1"/>
  <c r="BT35" i="56" s="1"/>
  <c r="BT38" i="56" s="1"/>
  <c r="BT41" i="56" s="1"/>
  <c r="BT44" i="56" s="1"/>
  <c r="BT47" i="56" s="1"/>
  <c r="BT50" i="56" s="1"/>
  <c r="BT53" i="56" s="1"/>
  <c r="BT56" i="56" s="1"/>
  <c r="BT59" i="56" s="1"/>
  <c r="BT62" i="56" s="1"/>
  <c r="BT65" i="56" s="1"/>
  <c r="BT68" i="56" s="1"/>
  <c r="BT71" i="56" s="1"/>
  <c r="BT74" i="56" s="1"/>
  <c r="BT77" i="56" s="1"/>
  <c r="BT80" i="56" s="1"/>
  <c r="BT83" i="56" s="1"/>
  <c r="BT86" i="56" s="1"/>
  <c r="BT89" i="56" s="1"/>
  <c r="BT92" i="56" s="1"/>
  <c r="AN18" i="56"/>
  <c r="BD18" i="56" s="1"/>
  <c r="AC18" i="56"/>
  <c r="Z18" i="56"/>
  <c r="AA18" i="56" s="1"/>
  <c r="N18" i="56"/>
  <c r="BV20" i="56" s="1"/>
  <c r="K18" i="56"/>
  <c r="H18" i="56"/>
  <c r="I18" i="56" s="1"/>
  <c r="BD17" i="56"/>
  <c r="BB17" i="56"/>
  <c r="AT17" i="56"/>
  <c r="AR17" i="56"/>
  <c r="AQ17" i="56"/>
  <c r="AL17" i="56"/>
  <c r="AC17" i="56"/>
  <c r="AA17" i="56"/>
  <c r="W17" i="56"/>
  <c r="T17" i="56"/>
  <c r="Y20" i="56" s="1"/>
  <c r="S17" i="56"/>
  <c r="P17" i="56"/>
  <c r="O17" i="56"/>
  <c r="N17" i="56"/>
  <c r="BV18" i="56" s="1"/>
  <c r="K17" i="56"/>
  <c r="H17" i="56"/>
  <c r="AS9" i="56"/>
  <c r="AC9" i="56"/>
  <c r="BC4" i="56"/>
  <c r="AS4" i="56"/>
  <c r="AF4" i="56"/>
  <c r="W3" i="56"/>
  <c r="W1" i="56"/>
  <c r="AM32" i="56" l="1"/>
  <c r="AS17" i="56"/>
  <c r="J18" i="56"/>
  <c r="AL18" i="56" s="1"/>
  <c r="BA26" i="56"/>
  <c r="BO18" i="56"/>
  <c r="BO27" i="56"/>
  <c r="BO26" i="56"/>
  <c r="T18" i="56"/>
  <c r="T19" i="56" s="1"/>
  <c r="T20" i="56" s="1"/>
  <c r="AE38" i="56"/>
  <c r="BA25" i="56"/>
  <c r="AF38" i="56"/>
  <c r="BO20" i="56"/>
  <c r="BC19" i="56"/>
  <c r="BH19" i="56" s="1"/>
  <c r="L22" i="56"/>
  <c r="BH28" i="56"/>
  <c r="AG38" i="56"/>
  <c r="BP38" i="56"/>
  <c r="W25" i="57"/>
  <c r="BO28" i="57"/>
  <c r="Y21" i="56"/>
  <c r="BB26" i="56"/>
  <c r="BG26" i="56" s="1"/>
  <c r="I17" i="56"/>
  <c r="BI17" i="56" s="1"/>
  <c r="BP41" i="56"/>
  <c r="AE42" i="56"/>
  <c r="AF42" i="56"/>
  <c r="AR41" i="56"/>
  <c r="AG42" i="56"/>
  <c r="AM37" i="56"/>
  <c r="AO37" i="56" s="1"/>
  <c r="AM40" i="56"/>
  <c r="AO40" i="56" s="1"/>
  <c r="AS41" i="56"/>
  <c r="AT41" i="56"/>
  <c r="BE17" i="56"/>
  <c r="BC20" i="56"/>
  <c r="BH20" i="56" s="1"/>
  <c r="AD38" i="56"/>
  <c r="BP39" i="56"/>
  <c r="AI32" i="57"/>
  <c r="AJ32" i="57"/>
  <c r="AM32" i="57"/>
  <c r="AO32" i="57" s="1"/>
  <c r="W28" i="57"/>
  <c r="J28" i="57"/>
  <c r="AL28" i="57" s="1"/>
  <c r="BO30" i="57"/>
  <c r="AE35" i="57"/>
  <c r="I30" i="57"/>
  <c r="L30" i="57" s="1"/>
  <c r="AP30" i="57" s="1"/>
  <c r="AJ30" i="57" s="1"/>
  <c r="AI35" i="57"/>
  <c r="AD40" i="57"/>
  <c r="AH41" i="57"/>
  <c r="AP42" i="57"/>
  <c r="AJ42" i="57" s="1"/>
  <c r="L25" i="57"/>
  <c r="AP25" i="57" s="1"/>
  <c r="AZ25" i="57" s="1"/>
  <c r="BO25" i="57"/>
  <c r="AM35" i="57"/>
  <c r="AO35" i="57" s="1"/>
  <c r="AF40" i="57"/>
  <c r="BP40" i="57"/>
  <c r="BA21" i="57"/>
  <c r="AG34" i="57"/>
  <c r="AI40" i="57"/>
  <c r="BD22" i="57"/>
  <c r="BC21" i="57"/>
  <c r="BH21" i="57" s="1"/>
  <c r="AD33" i="57"/>
  <c r="AH34" i="57"/>
  <c r="BO21" i="57"/>
  <c r="AE33" i="57"/>
  <c r="BO23" i="57"/>
  <c r="BP32" i="57"/>
  <c r="AF33" i="57"/>
  <c r="AM34" i="57"/>
  <c r="AO34" i="57" s="1"/>
  <c r="AG33" i="57"/>
  <c r="BP38" i="57"/>
  <c r="AR32" i="57"/>
  <c r="AQ40" i="57"/>
  <c r="AS32" i="57"/>
  <c r="AP34" i="57"/>
  <c r="AT34" i="57" s="1"/>
  <c r="AG37" i="57"/>
  <c r="AM40" i="57"/>
  <c r="AO40" i="57" s="1"/>
  <c r="BO17" i="57"/>
  <c r="AZ32" i="57"/>
  <c r="AJ37" i="57"/>
  <c r="AR38" i="57"/>
  <c r="T18" i="57"/>
  <c r="T19" i="57" s="1"/>
  <c r="T20" i="57" s="1"/>
  <c r="T21" i="57" s="1"/>
  <c r="T22" i="57" s="1"/>
  <c r="T23" i="57" s="1"/>
  <c r="T24" i="57" s="1"/>
  <c r="T25" i="57" s="1"/>
  <c r="T26" i="57" s="1"/>
  <c r="T27" i="57" s="1"/>
  <c r="T28" i="57" s="1"/>
  <c r="T29" i="57" s="1"/>
  <c r="T30" i="57" s="1"/>
  <c r="T31" i="57" s="1"/>
  <c r="T32" i="57" s="1"/>
  <c r="T33" i="57" s="1"/>
  <c r="T34" i="57" s="1"/>
  <c r="T35" i="57" s="1"/>
  <c r="T36" i="57" s="1"/>
  <c r="T37" i="57" s="1"/>
  <c r="T38" i="57" s="1"/>
  <c r="T39" i="57" s="1"/>
  <c r="T40" i="57" s="1"/>
  <c r="T41" i="57" s="1"/>
  <c r="AS38" i="57"/>
  <c r="AM41" i="57"/>
  <c r="AO41" i="57" s="1"/>
  <c r="AT32" i="57"/>
  <c r="AI37" i="57"/>
  <c r="BP37" i="57"/>
  <c r="AD42" i="57"/>
  <c r="I17" i="57"/>
  <c r="J17" i="57" s="1"/>
  <c r="AD35" i="57"/>
  <c r="AE40" i="57"/>
  <c r="W20" i="56"/>
  <c r="J20" i="56"/>
  <c r="AL20" i="56" s="1"/>
  <c r="BI20" i="56"/>
  <c r="S18" i="56"/>
  <c r="U17" i="56" s="1"/>
  <c r="J29" i="56"/>
  <c r="AL29" i="56" s="1"/>
  <c r="W29" i="56"/>
  <c r="L29" i="56"/>
  <c r="AP29" i="56" s="1"/>
  <c r="AJ29" i="56" s="1"/>
  <c r="W27" i="56"/>
  <c r="J24" i="56"/>
  <c r="AL24" i="56" s="1"/>
  <c r="J28" i="56"/>
  <c r="AL28" i="56" s="1"/>
  <c r="W28" i="56"/>
  <c r="BA19" i="56"/>
  <c r="BB22" i="56"/>
  <c r="BG22" i="56" s="1"/>
  <c r="L24" i="56"/>
  <c r="AP24" i="56" s="1"/>
  <c r="AJ24" i="56" s="1"/>
  <c r="BO30" i="56"/>
  <c r="BP34" i="56"/>
  <c r="AH39" i="56"/>
  <c r="BB19" i="56"/>
  <c r="BG19" i="56" s="1"/>
  <c r="BA18" i="56"/>
  <c r="BF20" i="56"/>
  <c r="BB28" i="56"/>
  <c r="BG28" i="56" s="1"/>
  <c r="AM34" i="56"/>
  <c r="AO34" i="56" s="1"/>
  <c r="AM31" i="56"/>
  <c r="AO31" i="56" s="1"/>
  <c r="AM36" i="56"/>
  <c r="AO36" i="56" s="1"/>
  <c r="AD39" i="56"/>
  <c r="AG39" i="56"/>
  <c r="AM42" i="56"/>
  <c r="AO42" i="56" s="1"/>
  <c r="AI34" i="56"/>
  <c r="AM39" i="56"/>
  <c r="AO39" i="56" s="1"/>
  <c r="BO17" i="56"/>
  <c r="BC18" i="56"/>
  <c r="BH18" i="56" s="1"/>
  <c r="BD19" i="56"/>
  <c r="BF19" i="56" s="1"/>
  <c r="BJ20" i="56"/>
  <c r="BO19" i="56"/>
  <c r="BA20" i="56"/>
  <c r="BO21" i="56"/>
  <c r="I30" i="56"/>
  <c r="AG34" i="56"/>
  <c r="AH34" i="56"/>
  <c r="BP33" i="56"/>
  <c r="AM38" i="56"/>
  <c r="AO38" i="56" s="1"/>
  <c r="BO25" i="56"/>
  <c r="BC27" i="56"/>
  <c r="BH27" i="56" s="1"/>
  <c r="AQ33" i="56"/>
  <c r="AZ33" i="56"/>
  <c r="AJ33" i="56"/>
  <c r="AS33" i="56"/>
  <c r="AR33" i="56"/>
  <c r="BV19" i="56"/>
  <c r="BD23" i="56"/>
  <c r="AD37" i="56"/>
  <c r="AE40" i="56"/>
  <c r="AM35" i="56"/>
  <c r="AO35" i="56" s="1"/>
  <c r="AQ37" i="56"/>
  <c r="BC24" i="56"/>
  <c r="BH24" i="56" s="1"/>
  <c r="BD22" i="56"/>
  <c r="AG37" i="56"/>
  <c r="AJ41" i="56"/>
  <c r="BC26" i="56"/>
  <c r="BV22" i="56"/>
  <c r="BC31" i="56"/>
  <c r="BP32" i="56"/>
  <c r="AI37" i="56"/>
  <c r="BD25" i="56"/>
  <c r="BI25" i="56" s="1"/>
  <c r="BP37" i="56"/>
  <c r="BE25" i="56"/>
  <c r="BJ25" i="56" s="1"/>
  <c r="AR37" i="56"/>
  <c r="AD40" i="56"/>
  <c r="BB20" i="56"/>
  <c r="BG20" i="56" s="1"/>
  <c r="AE37" i="56"/>
  <c r="BV23" i="56"/>
  <c r="AF37" i="56"/>
  <c r="BB31" i="56"/>
  <c r="BB18" i="56"/>
  <c r="BG18" i="56" s="1"/>
  <c r="AM33" i="56"/>
  <c r="AO33" i="56" s="1"/>
  <c r="AP40" i="56"/>
  <c r="AZ40" i="56" s="1"/>
  <c r="AM18" i="56"/>
  <c r="AO18" i="56" s="1"/>
  <c r="BT25" i="57"/>
  <c r="BT28" i="57" s="1"/>
  <c r="BT31" i="57" s="1"/>
  <c r="BT34" i="57" s="1"/>
  <c r="BT37" i="57" s="1"/>
  <c r="BT40" i="57" s="1"/>
  <c r="BT43" i="57" s="1"/>
  <c r="BT46" i="57" s="1"/>
  <c r="BT49" i="57" s="1"/>
  <c r="BT52" i="57" s="1"/>
  <c r="BT55" i="57" s="1"/>
  <c r="BT58" i="57" s="1"/>
  <c r="BT61" i="57" s="1"/>
  <c r="BT64" i="57" s="1"/>
  <c r="BT67" i="57" s="1"/>
  <c r="BT70" i="57" s="1"/>
  <c r="BT73" i="57" s="1"/>
  <c r="BT76" i="57" s="1"/>
  <c r="BT79" i="57" s="1"/>
  <c r="BT82" i="57" s="1"/>
  <c r="BT85" i="57" s="1"/>
  <c r="BT88" i="57" s="1"/>
  <c r="BT91" i="57" s="1"/>
  <c r="W21" i="57"/>
  <c r="L21" i="57"/>
  <c r="J21" i="57"/>
  <c r="AL21" i="57" s="1"/>
  <c r="AM21" i="57" s="1"/>
  <c r="AO21" i="57" s="1"/>
  <c r="BJ26" i="57"/>
  <c r="W19" i="57"/>
  <c r="L19" i="57"/>
  <c r="J19" i="57"/>
  <c r="AL19" i="57" s="1"/>
  <c r="AM20" i="57" s="1"/>
  <c r="AO20" i="57" s="1"/>
  <c r="AP18" i="57"/>
  <c r="AJ18" i="57" s="1"/>
  <c r="BI22" i="57"/>
  <c r="AQ30" i="57"/>
  <c r="AZ30" i="57"/>
  <c r="BB20" i="57"/>
  <c r="BG20" i="57" s="1"/>
  <c r="BC23" i="57"/>
  <c r="BH23" i="57" s="1"/>
  <c r="BA26" i="57"/>
  <c r="BC27" i="57"/>
  <c r="BH27" i="57" s="1"/>
  <c r="BC29" i="57"/>
  <c r="BH29" i="57" s="1"/>
  <c r="BD32" i="57"/>
  <c r="AM39" i="57"/>
  <c r="AO39" i="57" s="1"/>
  <c r="BD40" i="57"/>
  <c r="BC20" i="57"/>
  <c r="BH20" i="57" s="1"/>
  <c r="BD23" i="57"/>
  <c r="BB25" i="57"/>
  <c r="BG25" i="57" s="1"/>
  <c r="W29" i="57"/>
  <c r="BE32" i="57"/>
  <c r="L17" i="57"/>
  <c r="BB23" i="57"/>
  <c r="BG23" i="57" s="1"/>
  <c r="BB29" i="57"/>
  <c r="BG29" i="57" s="1"/>
  <c r="BC30" i="57"/>
  <c r="BC18" i="57"/>
  <c r="BH18" i="57" s="1"/>
  <c r="L20" i="57"/>
  <c r="BS24" i="57"/>
  <c r="BV21" i="57"/>
  <c r="BV22" i="57" s="1"/>
  <c r="BD24" i="57"/>
  <c r="BI24" i="57" s="1"/>
  <c r="BC28" i="57"/>
  <c r="BH28" i="57" s="1"/>
  <c r="AZ38" i="57"/>
  <c r="AJ38" i="57"/>
  <c r="AT38" i="57"/>
  <c r="BE38" i="57"/>
  <c r="BG17" i="57"/>
  <c r="BT21" i="57"/>
  <c r="BT24" i="57" s="1"/>
  <c r="BT27" i="57" s="1"/>
  <c r="BT30" i="57" s="1"/>
  <c r="BT33" i="57" s="1"/>
  <c r="BT36" i="57" s="1"/>
  <c r="BT39" i="57" s="1"/>
  <c r="BT42" i="57" s="1"/>
  <c r="BT45" i="57" s="1"/>
  <c r="BT48" i="57" s="1"/>
  <c r="BT51" i="57" s="1"/>
  <c r="BT54" i="57" s="1"/>
  <c r="BT57" i="57" s="1"/>
  <c r="BT60" i="57" s="1"/>
  <c r="BT63" i="57" s="1"/>
  <c r="BT66" i="57" s="1"/>
  <c r="BT69" i="57" s="1"/>
  <c r="BT72" i="57" s="1"/>
  <c r="BT75" i="57" s="1"/>
  <c r="BT78" i="57" s="1"/>
  <c r="BT81" i="57" s="1"/>
  <c r="BT84" i="57" s="1"/>
  <c r="BT87" i="57" s="1"/>
  <c r="BT90" i="57" s="1"/>
  <c r="BT93" i="57" s="1"/>
  <c r="BD28" i="57"/>
  <c r="BE30" i="57"/>
  <c r="BJ30" i="57" s="1"/>
  <c r="BB31" i="57"/>
  <c r="BA31" i="57"/>
  <c r="BD31" i="57"/>
  <c r="BF31" i="57" s="1"/>
  <c r="BB34" i="57"/>
  <c r="BB35" i="57"/>
  <c r="AI38" i="57"/>
  <c r="AH38" i="57"/>
  <c r="AG38" i="57"/>
  <c r="AF38" i="57"/>
  <c r="AD38" i="57"/>
  <c r="AE38" i="57"/>
  <c r="BC42" i="57"/>
  <c r="BD25" i="57"/>
  <c r="BC24" i="57"/>
  <c r="BH24" i="57" s="1"/>
  <c r="BA25" i="57"/>
  <c r="BA24" i="57"/>
  <c r="BB27" i="57"/>
  <c r="BA27" i="57"/>
  <c r="BE26" i="57"/>
  <c r="BC26" i="57"/>
  <c r="BH26" i="57" s="1"/>
  <c r="BB36" i="57"/>
  <c r="BB41" i="57"/>
  <c r="BE42" i="57"/>
  <c r="BE36" i="57"/>
  <c r="BE40" i="57"/>
  <c r="BB38" i="57"/>
  <c r="BE23" i="57"/>
  <c r="BJ23" i="57" s="1"/>
  <c r="BC40" i="57"/>
  <c r="BD38" i="57"/>
  <c r="BE33" i="57"/>
  <c r="BD33" i="57"/>
  <c r="BC36" i="57"/>
  <c r="BD29" i="57"/>
  <c r="BF29" i="57" s="1"/>
  <c r="BD21" i="57"/>
  <c r="BB37" i="57"/>
  <c r="BD34" i="57"/>
  <c r="BB28" i="57"/>
  <c r="BG28" i="57" s="1"/>
  <c r="BD19" i="57"/>
  <c r="BI19" i="57" s="1"/>
  <c r="BD41" i="57"/>
  <c r="BB21" i="57"/>
  <c r="BG21" i="57" s="1"/>
  <c r="AM42" i="57"/>
  <c r="AO42" i="57" s="1"/>
  <c r="W22" i="57"/>
  <c r="J22" i="57"/>
  <c r="AL22" i="57" s="1"/>
  <c r="AM23" i="57" s="1"/>
  <c r="AO23" i="57" s="1"/>
  <c r="BD30" i="57"/>
  <c r="BF30" i="57" s="1"/>
  <c r="BA30" i="57"/>
  <c r="BA29" i="57"/>
  <c r="BO29" i="57"/>
  <c r="AT33" i="57"/>
  <c r="AZ33" i="57"/>
  <c r="AS33" i="57"/>
  <c r="BC34" i="57"/>
  <c r="AT35" i="57"/>
  <c r="AS35" i="57"/>
  <c r="AZ35" i="57"/>
  <c r="AJ35" i="57"/>
  <c r="AR35" i="57"/>
  <c r="AM36" i="57"/>
  <c r="AO36" i="57" s="1"/>
  <c r="P18" i="57"/>
  <c r="P19" i="57" s="1"/>
  <c r="P20" i="57" s="1"/>
  <c r="P21" i="57" s="1"/>
  <c r="P22" i="57" s="1"/>
  <c r="P23" i="57" s="1"/>
  <c r="P24" i="57" s="1"/>
  <c r="P25" i="57" s="1"/>
  <c r="P26" i="57" s="1"/>
  <c r="P27" i="57" s="1"/>
  <c r="P28" i="57" s="1"/>
  <c r="P29" i="57" s="1"/>
  <c r="P30" i="57" s="1"/>
  <c r="P31" i="57" s="1"/>
  <c r="P32" i="57" s="1"/>
  <c r="P33" i="57" s="1"/>
  <c r="P34" i="57" s="1"/>
  <c r="P35" i="57" s="1"/>
  <c r="P36" i="57" s="1"/>
  <c r="P37" i="57" s="1"/>
  <c r="P38" i="57" s="1"/>
  <c r="P39" i="57" s="1"/>
  <c r="P40" i="57" s="1"/>
  <c r="P41" i="57" s="1"/>
  <c r="BD20" i="57"/>
  <c r="BO19" i="57"/>
  <c r="BE19" i="57"/>
  <c r="BJ19" i="57" s="1"/>
  <c r="BO20" i="57"/>
  <c r="BJ31" i="57"/>
  <c r="L31" i="57"/>
  <c r="BH31" i="57"/>
  <c r="BG31" i="57"/>
  <c r="J31" i="57"/>
  <c r="AQ33" i="57"/>
  <c r="BP33" i="57"/>
  <c r="AQ35" i="57"/>
  <c r="BE21" i="57"/>
  <c r="BJ21" i="57" s="1"/>
  <c r="BC22" i="57"/>
  <c r="BH22" i="57" s="1"/>
  <c r="BB30" i="57"/>
  <c r="W26" i="57"/>
  <c r="L26" i="57"/>
  <c r="J26" i="57"/>
  <c r="AL26" i="57" s="1"/>
  <c r="AM26" i="57" s="1"/>
  <c r="AO26" i="57" s="1"/>
  <c r="W27" i="57"/>
  <c r="J27" i="57"/>
  <c r="AL27" i="57" s="1"/>
  <c r="L27" i="57"/>
  <c r="BI27" i="57"/>
  <c r="BP18" i="57"/>
  <c r="BB22" i="57"/>
  <c r="BG22" i="57" s="1"/>
  <c r="J29" i="57"/>
  <c r="AL29" i="57" s="1"/>
  <c r="L29" i="57"/>
  <c r="BB33" i="57"/>
  <c r="BJ24" i="57"/>
  <c r="L24" i="57"/>
  <c r="BC33" i="57"/>
  <c r="BD36" i="57"/>
  <c r="AM38" i="57"/>
  <c r="AO38" i="57" s="1"/>
  <c r="AM37" i="57"/>
  <c r="AO37" i="57" s="1"/>
  <c r="AS17" i="57"/>
  <c r="J18" i="57"/>
  <c r="AL18" i="57" s="1"/>
  <c r="W18" i="57"/>
  <c r="BI18" i="57"/>
  <c r="BB19" i="57"/>
  <c r="BG19" i="57" s="1"/>
  <c r="J24" i="57"/>
  <c r="AL24" i="57" s="1"/>
  <c r="AM24" i="57" s="1"/>
  <c r="AO24" i="57" s="1"/>
  <c r="BB40" i="57"/>
  <c r="BC19" i="57"/>
  <c r="BH19" i="57" s="1"/>
  <c r="Y18" i="57"/>
  <c r="BI17" i="57"/>
  <c r="O18" i="57"/>
  <c r="BE18" i="57"/>
  <c r="BJ18" i="57" s="1"/>
  <c r="BO26" i="57"/>
  <c r="BE28" i="57"/>
  <c r="BJ28" i="57" s="1"/>
  <c r="BE17" i="57"/>
  <c r="BB18" i="57"/>
  <c r="BA18" i="57"/>
  <c r="BC17" i="57"/>
  <c r="BA17" i="57"/>
  <c r="L22" i="57"/>
  <c r="BE22" i="57"/>
  <c r="BJ22" i="57" s="1"/>
  <c r="BA23" i="57"/>
  <c r="BO22" i="57"/>
  <c r="BP22" i="57" s="1"/>
  <c r="BC25" i="57"/>
  <c r="BH25" i="57" s="1"/>
  <c r="BD26" i="57"/>
  <c r="BE25" i="57"/>
  <c r="BJ25" i="57" s="1"/>
  <c r="BB26" i="57"/>
  <c r="BG26" i="57" s="1"/>
  <c r="BV26" i="57"/>
  <c r="BS29" i="57"/>
  <c r="AR33" i="57"/>
  <c r="W20" i="57"/>
  <c r="L23" i="57"/>
  <c r="W23" i="57"/>
  <c r="BO24" i="57"/>
  <c r="L28" i="57"/>
  <c r="J30" i="57"/>
  <c r="AL30" i="57" s="1"/>
  <c r="S18" i="57"/>
  <c r="BG30" i="57"/>
  <c r="BH30" i="57"/>
  <c r="BC35" i="57"/>
  <c r="AI36" i="57"/>
  <c r="AH36" i="57"/>
  <c r="AE36" i="57"/>
  <c r="AD36" i="57"/>
  <c r="BD39" i="57"/>
  <c r="BB39" i="57"/>
  <c r="BC38" i="57"/>
  <c r="BS28" i="57"/>
  <c r="AF36" i="57"/>
  <c r="AS37" i="57"/>
  <c r="AR37" i="57"/>
  <c r="AQ37" i="57"/>
  <c r="AT37" i="57"/>
  <c r="AF39" i="57"/>
  <c r="AE39" i="57"/>
  <c r="AD39" i="57"/>
  <c r="AG39" i="57"/>
  <c r="AI39" i="57"/>
  <c r="BP39" i="57"/>
  <c r="AP39" i="57"/>
  <c r="BV18" i="57"/>
  <c r="BV17" i="57"/>
  <c r="BU17" i="57" s="1"/>
  <c r="BA19" i="57"/>
  <c r="AG36" i="57"/>
  <c r="AJ40" i="57"/>
  <c r="AT40" i="57"/>
  <c r="AS40" i="57"/>
  <c r="AZ40" i="57"/>
  <c r="BB32" i="57"/>
  <c r="AF34" i="57"/>
  <c r="AE34" i="57"/>
  <c r="BE37" i="57"/>
  <c r="BC41" i="57"/>
  <c r="BD42" i="57"/>
  <c r="BE41" i="57"/>
  <c r="BE20" i="57"/>
  <c r="BJ20" i="57" s="1"/>
  <c r="AD32" i="57"/>
  <c r="AH32" i="57"/>
  <c r="AG32" i="57"/>
  <c r="AM33" i="57"/>
  <c r="AO33" i="57" s="1"/>
  <c r="BE34" i="57"/>
  <c r="BE35" i="57"/>
  <c r="BO27" i="57"/>
  <c r="BE27" i="57"/>
  <c r="BJ27" i="57" s="1"/>
  <c r="AE32" i="57"/>
  <c r="BC32" i="57"/>
  <c r="AD34" i="57"/>
  <c r="AP36" i="57"/>
  <c r="AD41" i="57"/>
  <c r="AF41" i="57"/>
  <c r="AE41" i="57"/>
  <c r="AG41" i="57"/>
  <c r="BB42" i="57"/>
  <c r="BB24" i="57"/>
  <c r="BG24" i="57" s="1"/>
  <c r="BE39" i="57"/>
  <c r="BC39" i="57"/>
  <c r="BD37" i="57"/>
  <c r="BP41" i="57"/>
  <c r="AP41" i="57"/>
  <c r="AH33" i="57"/>
  <c r="AF35" i="57"/>
  <c r="AD37" i="57"/>
  <c r="BC37" i="57"/>
  <c r="AG40" i="57"/>
  <c r="AE42" i="57"/>
  <c r="AG35" i="57"/>
  <c r="AE37" i="57"/>
  <c r="AF42" i="57"/>
  <c r="AF37" i="57"/>
  <c r="AG42" i="57"/>
  <c r="AH42" i="57"/>
  <c r="J26" i="56"/>
  <c r="AL26" i="56" s="1"/>
  <c r="L26" i="56"/>
  <c r="W26" i="56"/>
  <c r="BH26" i="56"/>
  <c r="AF36" i="56"/>
  <c r="AI36" i="56"/>
  <c r="AH36" i="56"/>
  <c r="AG36" i="56"/>
  <c r="AE36" i="56"/>
  <c r="AD36" i="56"/>
  <c r="BE32" i="56"/>
  <c r="BC32" i="56"/>
  <c r="BB33" i="56"/>
  <c r="Y18" i="56"/>
  <c r="L18" i="56"/>
  <c r="BI18" i="56"/>
  <c r="W18" i="56"/>
  <c r="BB29" i="56"/>
  <c r="BG29" i="56" s="1"/>
  <c r="BE28" i="56"/>
  <c r="BD29" i="56"/>
  <c r="BO28" i="56"/>
  <c r="BA29" i="56"/>
  <c r="BB37" i="56"/>
  <c r="BC36" i="56"/>
  <c r="BD37" i="56"/>
  <c r="BE36" i="56"/>
  <c r="BH31" i="56"/>
  <c r="L31" i="56"/>
  <c r="BG31" i="56"/>
  <c r="J31" i="56"/>
  <c r="BJ31" i="56"/>
  <c r="BC41" i="56"/>
  <c r="BD42" i="56"/>
  <c r="BB42" i="56"/>
  <c r="L23" i="56"/>
  <c r="W23" i="56"/>
  <c r="J23" i="56"/>
  <c r="AL23" i="56" s="1"/>
  <c r="BJ23" i="56"/>
  <c r="Y17" i="56"/>
  <c r="O18" i="56"/>
  <c r="BI23" i="56"/>
  <c r="AM30" i="56"/>
  <c r="AO30" i="56" s="1"/>
  <c r="BB36" i="56"/>
  <c r="BC35" i="56"/>
  <c r="BE35" i="56"/>
  <c r="BD36" i="56"/>
  <c r="P18" i="56"/>
  <c r="P19" i="56" s="1"/>
  <c r="P20" i="56" s="1"/>
  <c r="P21" i="56" s="1"/>
  <c r="P22" i="56" s="1"/>
  <c r="P23" i="56" s="1"/>
  <c r="P24" i="56" s="1"/>
  <c r="P25" i="56" s="1"/>
  <c r="P26" i="56" s="1"/>
  <c r="P27" i="56" s="1"/>
  <c r="P28" i="56" s="1"/>
  <c r="P29" i="56" s="1"/>
  <c r="P30" i="56" s="1"/>
  <c r="P31" i="56" s="1"/>
  <c r="P32" i="56" s="1"/>
  <c r="P33" i="56" s="1"/>
  <c r="P34" i="56" s="1"/>
  <c r="P35" i="56" s="1"/>
  <c r="P36" i="56" s="1"/>
  <c r="P37" i="56" s="1"/>
  <c r="P38" i="56" s="1"/>
  <c r="P39" i="56" s="1"/>
  <c r="P40" i="56" s="1"/>
  <c r="P41" i="56" s="1"/>
  <c r="BA24" i="56"/>
  <c r="BD24" i="56"/>
  <c r="BC23" i="56"/>
  <c r="BH23" i="56" s="1"/>
  <c r="BO24" i="56"/>
  <c r="BB24" i="56"/>
  <c r="BG24" i="56" s="1"/>
  <c r="BO23" i="56"/>
  <c r="BC34" i="56"/>
  <c r="BD35" i="56"/>
  <c r="BE34" i="56"/>
  <c r="BB35" i="56"/>
  <c r="AZ38" i="56"/>
  <c r="AT38" i="56"/>
  <c r="AS38" i="56"/>
  <c r="AR38" i="56"/>
  <c r="AQ38" i="56"/>
  <c r="BJ17" i="56"/>
  <c r="L17" i="56"/>
  <c r="BG17" i="56"/>
  <c r="U42" i="56"/>
  <c r="AP22" i="56"/>
  <c r="AJ22" i="56" s="1"/>
  <c r="BI27" i="56"/>
  <c r="L21" i="56"/>
  <c r="W21" i="56"/>
  <c r="BJ21" i="56"/>
  <c r="J21" i="56"/>
  <c r="AL21" i="56" s="1"/>
  <c r="AM21" i="56" s="1"/>
  <c r="AO21" i="56" s="1"/>
  <c r="W24" i="56"/>
  <c r="BS31" i="56"/>
  <c r="AJ35" i="56"/>
  <c r="AR35" i="56"/>
  <c r="AZ35" i="56"/>
  <c r="AT35" i="56"/>
  <c r="AS35" i="56"/>
  <c r="AQ35" i="56"/>
  <c r="BB41" i="56"/>
  <c r="BE40" i="56"/>
  <c r="BD41" i="56"/>
  <c r="AO41" i="56"/>
  <c r="AG33" i="56"/>
  <c r="AF33" i="56"/>
  <c r="AE33" i="56"/>
  <c r="AD33" i="56"/>
  <c r="AI35" i="56"/>
  <c r="AE35" i="56"/>
  <c r="AH35" i="56"/>
  <c r="AG35" i="56"/>
  <c r="AF35" i="56"/>
  <c r="BA22" i="56"/>
  <c r="BB23" i="56"/>
  <c r="BG23" i="56" s="1"/>
  <c r="BA23" i="56"/>
  <c r="AT32" i="56"/>
  <c r="AS32" i="56"/>
  <c r="AJ32" i="56"/>
  <c r="AZ32" i="56"/>
  <c r="AR34" i="56"/>
  <c r="AQ34" i="56"/>
  <c r="AT34" i="56"/>
  <c r="AJ34" i="56"/>
  <c r="AD41" i="56"/>
  <c r="AI41" i="56"/>
  <c r="AH41" i="56"/>
  <c r="AG41" i="56"/>
  <c r="AF41" i="56"/>
  <c r="AE41" i="56"/>
  <c r="BA17" i="56"/>
  <c r="AQ32" i="56"/>
  <c r="AS34" i="56"/>
  <c r="W22" i="56"/>
  <c r="BH22" i="56"/>
  <c r="BI22" i="56"/>
  <c r="W19" i="56"/>
  <c r="J22" i="56"/>
  <c r="AL22" i="56" s="1"/>
  <c r="BB32" i="56"/>
  <c r="BO31" i="56"/>
  <c r="J19" i="56"/>
  <c r="AL19" i="56" s="1"/>
  <c r="AM19" i="56" s="1"/>
  <c r="AO19" i="56" s="1"/>
  <c r="BE22" i="56"/>
  <c r="BJ22" i="56" s="1"/>
  <c r="BI28" i="56"/>
  <c r="L28" i="56"/>
  <c r="BV17" i="56"/>
  <c r="BU17" i="56" s="1"/>
  <c r="BU18" i="56" s="1"/>
  <c r="L19" i="56"/>
  <c r="L25" i="56"/>
  <c r="W25" i="56"/>
  <c r="BH25" i="56"/>
  <c r="BA28" i="56"/>
  <c r="BA27" i="56"/>
  <c r="AG32" i="56"/>
  <c r="AF32" i="56"/>
  <c r="AE32" i="56"/>
  <c r="AI32" i="56"/>
  <c r="AH32" i="56"/>
  <c r="AR32" i="56"/>
  <c r="AS39" i="56"/>
  <c r="AR39" i="56"/>
  <c r="AZ39" i="56"/>
  <c r="AQ39" i="56"/>
  <c r="AT39" i="56"/>
  <c r="AJ39" i="56"/>
  <c r="BC17" i="56"/>
  <c r="BH17" i="56" s="1"/>
  <c r="BO22" i="56"/>
  <c r="BP22" i="56" s="1"/>
  <c r="J25" i="56"/>
  <c r="AL25" i="56" s="1"/>
  <c r="BV26" i="56"/>
  <c r="BS29" i="56"/>
  <c r="BE27" i="56"/>
  <c r="BJ27" i="56" s="1"/>
  <c r="AH33" i="56"/>
  <c r="AI33" i="56"/>
  <c r="AD35" i="56"/>
  <c r="AP36" i="56"/>
  <c r="BP36" i="56"/>
  <c r="BE19" i="56"/>
  <c r="BJ19" i="56" s="1"/>
  <c r="BA21" i="56"/>
  <c r="BV21" i="56"/>
  <c r="BS24" i="56"/>
  <c r="AQ42" i="56"/>
  <c r="AZ42" i="56"/>
  <c r="AJ42" i="56"/>
  <c r="AT42" i="56"/>
  <c r="BD39" i="56"/>
  <c r="BC42" i="56"/>
  <c r="BC30" i="56"/>
  <c r="BD38" i="56"/>
  <c r="BB25" i="56"/>
  <c r="BE24" i="56"/>
  <c r="BJ24" i="56" s="1"/>
  <c r="BC38" i="56"/>
  <c r="BC21" i="56"/>
  <c r="BH21" i="56" s="1"/>
  <c r="BE18" i="56"/>
  <c r="BJ18" i="56" s="1"/>
  <c r="L20" i="56"/>
  <c r="BB21" i="56"/>
  <c r="BG21" i="56" s="1"/>
  <c r="BT21" i="56"/>
  <c r="BT24" i="56" s="1"/>
  <c r="BT27" i="56" s="1"/>
  <c r="BT30" i="56" s="1"/>
  <c r="BT33" i="56" s="1"/>
  <c r="BT36" i="56" s="1"/>
  <c r="BT39" i="56" s="1"/>
  <c r="BT42" i="56" s="1"/>
  <c r="BT45" i="56" s="1"/>
  <c r="BT48" i="56" s="1"/>
  <c r="BT51" i="56" s="1"/>
  <c r="BT54" i="56" s="1"/>
  <c r="BT57" i="56" s="1"/>
  <c r="BT60" i="56" s="1"/>
  <c r="BT63" i="56" s="1"/>
  <c r="BT66" i="56" s="1"/>
  <c r="BT69" i="56" s="1"/>
  <c r="BT72" i="56" s="1"/>
  <c r="BT75" i="56" s="1"/>
  <c r="BT78" i="56" s="1"/>
  <c r="BT81" i="56" s="1"/>
  <c r="BT84" i="56" s="1"/>
  <c r="BT87" i="56" s="1"/>
  <c r="BT90" i="56" s="1"/>
  <c r="BT93" i="56" s="1"/>
  <c r="BD26" i="56"/>
  <c r="AO32" i="56"/>
  <c r="BD31" i="56"/>
  <c r="BF31" i="56" s="1"/>
  <c r="AE34" i="56"/>
  <c r="AD34" i="56"/>
  <c r="AT37" i="56"/>
  <c r="AZ37" i="56"/>
  <c r="AJ37" i="56"/>
  <c r="BC37" i="56"/>
  <c r="BE39" i="56"/>
  <c r="AR42" i="56"/>
  <c r="BD21" i="56"/>
  <c r="BI21" i="56" s="1"/>
  <c r="BE26" i="56"/>
  <c r="BJ26" i="56" s="1"/>
  <c r="J27" i="56"/>
  <c r="AL27" i="56" s="1"/>
  <c r="L27" i="56"/>
  <c r="BP27" i="56" s="1"/>
  <c r="BB27" i="56"/>
  <c r="BG27" i="56" s="1"/>
  <c r="BH30" i="56"/>
  <c r="BG30" i="56"/>
  <c r="BJ30" i="56"/>
  <c r="W30" i="56"/>
  <c r="BB30" i="56"/>
  <c r="AF40" i="56"/>
  <c r="AH40" i="56"/>
  <c r="AG40" i="56"/>
  <c r="AS42" i="56"/>
  <c r="BJ29" i="56"/>
  <c r="BC29" i="56"/>
  <c r="BH29" i="56" s="1"/>
  <c r="BO29" i="56"/>
  <c r="BD30" i="56"/>
  <c r="BD34" i="56"/>
  <c r="AF39" i="56"/>
  <c r="AE39" i="56"/>
  <c r="AT33" i="56"/>
  <c r="BE33" i="56"/>
  <c r="AQ41" i="56"/>
  <c r="BP42" i="56"/>
  <c r="AD42" i="56"/>
  <c r="AH42" i="56"/>
  <c r="F1" i="42"/>
  <c r="H9" i="52"/>
  <c r="AJ25" i="57" l="1"/>
  <c r="AM28" i="57"/>
  <c r="AO28" i="57" s="1"/>
  <c r="BP23" i="57"/>
  <c r="BP25" i="57"/>
  <c r="BP18" i="56"/>
  <c r="BU19" i="56"/>
  <c r="BU20" i="56" s="1"/>
  <c r="BK17" i="56"/>
  <c r="BK20" i="56"/>
  <c r="J17" i="56"/>
  <c r="AM29" i="56"/>
  <c r="AO29" i="56" s="1"/>
  <c r="BF23" i="56"/>
  <c r="BF26" i="56"/>
  <c r="BH17" i="57"/>
  <c r="BF18" i="57"/>
  <c r="BF22" i="57"/>
  <c r="BI29" i="57"/>
  <c r="BK29" i="57" s="1"/>
  <c r="BP29" i="57"/>
  <c r="AS42" i="57"/>
  <c r="BP24" i="56"/>
  <c r="BP17" i="56"/>
  <c r="AM28" i="56"/>
  <c r="AO28" i="56" s="1"/>
  <c r="BP21" i="56"/>
  <c r="AT30" i="57"/>
  <c r="BP30" i="57"/>
  <c r="AT42" i="57"/>
  <c r="AR30" i="57"/>
  <c r="AS30" i="57"/>
  <c r="AM29" i="57"/>
  <c r="AO29" i="57" s="1"/>
  <c r="BK24" i="57"/>
  <c r="BF20" i="57"/>
  <c r="AJ34" i="57"/>
  <c r="AS25" i="57"/>
  <c r="AZ34" i="57"/>
  <c r="AT25" i="57"/>
  <c r="BF17" i="57"/>
  <c r="BK19" i="57"/>
  <c r="BF21" i="57"/>
  <c r="AZ42" i="57"/>
  <c r="AR25" i="57"/>
  <c r="AQ34" i="57"/>
  <c r="BK22" i="57"/>
  <c r="AQ42" i="57"/>
  <c r="BF27" i="57"/>
  <c r="AQ25" i="57"/>
  <c r="BF26" i="57"/>
  <c r="AR42" i="57"/>
  <c r="BP20" i="57"/>
  <c r="BP24" i="57"/>
  <c r="BP27" i="57"/>
  <c r="AR34" i="57"/>
  <c r="AS34" i="57"/>
  <c r="BP17" i="57"/>
  <c r="BU18" i="57"/>
  <c r="BV19" i="57"/>
  <c r="AQ40" i="56"/>
  <c r="BF22" i="56"/>
  <c r="AS40" i="56"/>
  <c r="AJ40" i="56"/>
  <c r="BP29" i="56"/>
  <c r="BI19" i="56"/>
  <c r="BK22" i="56"/>
  <c r="BF18" i="56"/>
  <c r="BI26" i="56"/>
  <c r="BK26" i="56" s="1"/>
  <c r="AR40" i="56"/>
  <c r="BF28" i="56"/>
  <c r="BK21" i="56"/>
  <c r="AM25" i="56"/>
  <c r="AO25" i="56" s="1"/>
  <c r="AM24" i="56"/>
  <c r="AO24" i="56" s="1"/>
  <c r="AM26" i="56"/>
  <c r="AO26" i="56" s="1"/>
  <c r="I31" i="56"/>
  <c r="J30" i="56"/>
  <c r="BF25" i="56"/>
  <c r="AT40" i="56"/>
  <c r="L30" i="56"/>
  <c r="U18" i="56"/>
  <c r="BU22" i="56"/>
  <c r="BU23" i="56" s="1"/>
  <c r="U20" i="56"/>
  <c r="T21" i="56"/>
  <c r="T22" i="56" s="1"/>
  <c r="T23" i="56" s="1"/>
  <c r="T24" i="56" s="1"/>
  <c r="BP23" i="56"/>
  <c r="U19" i="56"/>
  <c r="BU21" i="56"/>
  <c r="AM22" i="56"/>
  <c r="AO22" i="56" s="1"/>
  <c r="AP28" i="57"/>
  <c r="AJ28" i="57" s="1"/>
  <c r="AP26" i="57"/>
  <c r="AJ26" i="57" s="1"/>
  <c r="BF25" i="57"/>
  <c r="BI25" i="57"/>
  <c r="BK25" i="57" s="1"/>
  <c r="BF23" i="57"/>
  <c r="BI30" i="57"/>
  <c r="BK30" i="57" s="1"/>
  <c r="AM25" i="57"/>
  <c r="AO25" i="57" s="1"/>
  <c r="AP24" i="57"/>
  <c r="AJ24" i="57" s="1"/>
  <c r="BJ17" i="57"/>
  <c r="BK17" i="57" s="1"/>
  <c r="AP19" i="57"/>
  <c r="AJ19" i="57" s="1"/>
  <c r="BI26" i="57"/>
  <c r="BK26" i="57" s="1"/>
  <c r="BI23" i="57"/>
  <c r="BK23" i="57" s="1"/>
  <c r="BI31" i="57"/>
  <c r="BK31" i="57" s="1"/>
  <c r="BI20" i="57"/>
  <c r="BK20" i="57" s="1"/>
  <c r="AZ36" i="57"/>
  <c r="AT36" i="57"/>
  <c r="AR36" i="57"/>
  <c r="AQ36" i="57"/>
  <c r="AS36" i="57"/>
  <c r="AJ36" i="57"/>
  <c r="AM30" i="57"/>
  <c r="AO30" i="57" s="1"/>
  <c r="AM31" i="57"/>
  <c r="AO31" i="57" s="1"/>
  <c r="AP23" i="57"/>
  <c r="AJ23" i="57" s="1"/>
  <c r="BG27" i="57"/>
  <c r="BK27" i="57" s="1"/>
  <c r="BO14" i="57" a="1"/>
  <c r="BO14" i="57" s="1"/>
  <c r="AM22" i="57"/>
  <c r="AO22" i="57" s="1"/>
  <c r="AP31" i="57"/>
  <c r="AQ41" i="57"/>
  <c r="AZ41" i="57"/>
  <c r="AJ41" i="57"/>
  <c r="AT41" i="57"/>
  <c r="AS41" i="57"/>
  <c r="AR41" i="57"/>
  <c r="Q40" i="57"/>
  <c r="Q38" i="57"/>
  <c r="Q31" i="57"/>
  <c r="Q36" i="57"/>
  <c r="Q32" i="57"/>
  <c r="Q23" i="57"/>
  <c r="Q42" i="57"/>
  <c r="Q39" i="57"/>
  <c r="Q24" i="57"/>
  <c r="Q21" i="57"/>
  <c r="Q37" i="57"/>
  <c r="Q22" i="57"/>
  <c r="Q19" i="57"/>
  <c r="Q41" i="57"/>
  <c r="Q34" i="57"/>
  <c r="Q33" i="57"/>
  <c r="Q30" i="57"/>
  <c r="Q28" i="57"/>
  <c r="Q18" i="57"/>
  <c r="Q20" i="57"/>
  <c r="Q35" i="57"/>
  <c r="Q17" i="57"/>
  <c r="Q25" i="57"/>
  <c r="Q29" i="57"/>
  <c r="Q27" i="57"/>
  <c r="Q26" i="57"/>
  <c r="AP29" i="57"/>
  <c r="AJ29" i="57" s="1"/>
  <c r="AT18" i="57"/>
  <c r="AR18" i="57"/>
  <c r="AQ18" i="57"/>
  <c r="AS18" i="57"/>
  <c r="AZ18" i="57"/>
  <c r="AS39" i="57"/>
  <c r="AR39" i="57"/>
  <c r="AQ39" i="57"/>
  <c r="AT39" i="57"/>
  <c r="AJ39" i="57"/>
  <c r="AZ39" i="57"/>
  <c r="BF28" i="57"/>
  <c r="AP21" i="57"/>
  <c r="AJ21" i="57" s="1"/>
  <c r="U38" i="57"/>
  <c r="U36" i="57"/>
  <c r="U41" i="57"/>
  <c r="U29" i="57"/>
  <c r="U34" i="57"/>
  <c r="U37" i="57"/>
  <c r="U31" i="57"/>
  <c r="U25" i="57"/>
  <c r="U27" i="57"/>
  <c r="U22" i="57"/>
  <c r="U30" i="57"/>
  <c r="U19" i="57"/>
  <c r="U42" i="57"/>
  <c r="U26" i="57"/>
  <c r="U35" i="57"/>
  <c r="U23" i="57"/>
  <c r="U21" i="57"/>
  <c r="U39" i="57"/>
  <c r="U33" i="57"/>
  <c r="U20" i="57"/>
  <c r="U40" i="57"/>
  <c r="U18" i="57"/>
  <c r="U32" i="57"/>
  <c r="U24" i="57"/>
  <c r="U28" i="57"/>
  <c r="U17" i="57"/>
  <c r="BP26" i="57"/>
  <c r="BI21" i="57"/>
  <c r="BK21" i="57" s="1"/>
  <c r="AM18" i="57"/>
  <c r="AL15" i="57" a="1"/>
  <c r="AL15" i="57" s="1"/>
  <c r="AP27" i="57"/>
  <c r="AJ27" i="57" s="1"/>
  <c r="M27" i="57"/>
  <c r="BS31" i="57"/>
  <c r="BP28" i="57"/>
  <c r="AP22" i="57"/>
  <c r="AJ22" i="57" s="1"/>
  <c r="BG18" i="57"/>
  <c r="BK18" i="57" s="1"/>
  <c r="AM27" i="57"/>
  <c r="AO27" i="57" s="1"/>
  <c r="BF24" i="57"/>
  <c r="H9" i="57"/>
  <c r="AY36" i="57" s="1"/>
  <c r="AP17" i="57"/>
  <c r="BP31" i="57"/>
  <c r="BS27" i="57"/>
  <c r="BV24" i="57"/>
  <c r="BI28" i="57"/>
  <c r="BK28" i="57" s="1"/>
  <c r="BV29" i="57"/>
  <c r="BS32" i="57"/>
  <c r="BP19" i="57"/>
  <c r="BF19" i="57"/>
  <c r="AP20" i="57"/>
  <c r="AJ20" i="57" s="1"/>
  <c r="BP21" i="57"/>
  <c r="AM19" i="57"/>
  <c r="AO19" i="57" s="1"/>
  <c r="BK23" i="56"/>
  <c r="BK27" i="56"/>
  <c r="BK18" i="56"/>
  <c r="AP31" i="56"/>
  <c r="AL15" i="56" a="1"/>
  <c r="AL15" i="56" s="1"/>
  <c r="AP28" i="56"/>
  <c r="AJ28" i="56" s="1"/>
  <c r="BF27" i="56"/>
  <c r="AM23" i="56"/>
  <c r="AO23" i="56" s="1"/>
  <c r="BI31" i="56"/>
  <c r="AP26" i="56"/>
  <c r="AJ26" i="56" s="1"/>
  <c r="AP25" i="56"/>
  <c r="AJ25" i="56" s="1"/>
  <c r="AZ22" i="56"/>
  <c r="AT22" i="56"/>
  <c r="AS22" i="56"/>
  <c r="AR22" i="56"/>
  <c r="AQ22" i="56"/>
  <c r="H9" i="56"/>
  <c r="BN36" i="56" s="1"/>
  <c r="AP17" i="56"/>
  <c r="BP31" i="56"/>
  <c r="Q40" i="56"/>
  <c r="Q33" i="56"/>
  <c r="Q41" i="56"/>
  <c r="Q29" i="56"/>
  <c r="Q36" i="56"/>
  <c r="Q21" i="56"/>
  <c r="Q18" i="56"/>
  <c r="Q39" i="56"/>
  <c r="Q42" i="56"/>
  <c r="Q25" i="56"/>
  <c r="Q17" i="56"/>
  <c r="Q38" i="56"/>
  <c r="Q32" i="56"/>
  <c r="Q30" i="56"/>
  <c r="Q23" i="56"/>
  <c r="Q26" i="56"/>
  <c r="Q24" i="56"/>
  <c r="Q27" i="56"/>
  <c r="Q34" i="56"/>
  <c r="Q35" i="56"/>
  <c r="Q20" i="56"/>
  <c r="Q22" i="56"/>
  <c r="Q31" i="56"/>
  <c r="Q28" i="56"/>
  <c r="Q37" i="56"/>
  <c r="Q19" i="56"/>
  <c r="AP19" i="56"/>
  <c r="AJ19" i="56" s="1"/>
  <c r="BP19" i="56"/>
  <c r="BF24" i="56"/>
  <c r="BI24" i="56"/>
  <c r="BK24" i="56" s="1"/>
  <c r="BP26" i="56"/>
  <c r="BV24" i="56"/>
  <c r="BS27" i="56"/>
  <c r="BS32" i="56"/>
  <c r="BV29" i="56"/>
  <c r="AM20" i="56"/>
  <c r="AO20" i="56" s="1"/>
  <c r="BP25" i="56"/>
  <c r="BG25" i="56"/>
  <c r="BK25" i="56" s="1"/>
  <c r="AJ36" i="56"/>
  <c r="AT36" i="56"/>
  <c r="AS36" i="56"/>
  <c r="AZ36" i="56"/>
  <c r="AR36" i="56"/>
  <c r="AQ36" i="56"/>
  <c r="BJ28" i="56"/>
  <c r="BK28" i="56" s="1"/>
  <c r="AQ29" i="56"/>
  <c r="AZ29" i="56"/>
  <c r="AT29" i="56"/>
  <c r="AS29" i="56"/>
  <c r="AR29" i="56"/>
  <c r="AP23" i="56"/>
  <c r="AJ23" i="56" s="1"/>
  <c r="BP28" i="56"/>
  <c r="BF17" i="56"/>
  <c r="AP20" i="56"/>
  <c r="AJ20" i="56" s="1"/>
  <c r="BP20" i="56"/>
  <c r="BF30" i="56"/>
  <c r="BI30" i="56"/>
  <c r="BK30" i="56" s="1"/>
  <c r="AP21" i="56"/>
  <c r="AJ21" i="56" s="1"/>
  <c r="BS34" i="56"/>
  <c r="AP27" i="56"/>
  <c r="AJ27" i="56" s="1"/>
  <c r="AP18" i="56"/>
  <c r="AJ18" i="56" s="1"/>
  <c r="AM27" i="56"/>
  <c r="AO27" i="56" s="1"/>
  <c r="BF21" i="56"/>
  <c r="BK19" i="56"/>
  <c r="BO14" i="56" a="1"/>
  <c r="BO14" i="56" s="1"/>
  <c r="BF29" i="56"/>
  <c r="BI29" i="56"/>
  <c r="BK29" i="56" s="1"/>
  <c r="AR24" i="56"/>
  <c r="AQ24" i="56"/>
  <c r="AZ24" i="56"/>
  <c r="AT24" i="56"/>
  <c r="AS24" i="56"/>
  <c r="J18" i="42"/>
  <c r="BS23" i="52"/>
  <c r="BV23" i="52" s="1"/>
  <c r="BS22" i="52"/>
  <c r="BV22" i="52" s="1"/>
  <c r="BS21" i="52"/>
  <c r="BS24" i="52"/>
  <c r="BS27" i="52" s="1"/>
  <c r="BV27" i="52" s="1"/>
  <c r="BS30" i="52"/>
  <c r="BV19" i="52"/>
  <c r="BU19" i="52" s="1"/>
  <c r="BT18" i="52"/>
  <c r="BV22" i="42"/>
  <c r="BU22" i="42"/>
  <c r="BV25" i="42"/>
  <c r="BV28" i="42"/>
  <c r="BU28" i="42"/>
  <c r="BV31" i="42"/>
  <c r="BU31" i="42"/>
  <c r="BV34" i="42"/>
  <c r="BU34" i="42"/>
  <c r="BV37" i="42"/>
  <c r="BU37" i="42"/>
  <c r="BV40" i="42"/>
  <c r="BU40" i="42"/>
  <c r="BV43" i="42"/>
  <c r="BU43" i="42"/>
  <c r="BV46" i="42"/>
  <c r="BU46" i="42"/>
  <c r="BV49" i="42"/>
  <c r="BU49" i="42"/>
  <c r="BV52" i="42"/>
  <c r="BU52" i="42"/>
  <c r="BV55" i="42"/>
  <c r="BU55" i="42"/>
  <c r="BV58" i="42"/>
  <c r="BU58" i="42"/>
  <c r="BV61" i="42"/>
  <c r="BV19" i="42"/>
  <c r="BU19" i="42"/>
  <c r="BU25" i="42"/>
  <c r="BU61" i="42"/>
  <c r="BT93" i="42"/>
  <c r="BS93" i="42"/>
  <c r="BS66" i="42"/>
  <c r="BT66" i="42"/>
  <c r="BS67" i="42"/>
  <c r="BT67" i="42"/>
  <c r="BS68" i="42"/>
  <c r="BT68" i="42"/>
  <c r="BS69" i="42"/>
  <c r="BT69" i="42"/>
  <c r="BS70" i="42"/>
  <c r="BT70" i="42"/>
  <c r="BS71" i="42"/>
  <c r="BT71" i="42"/>
  <c r="BS72" i="42"/>
  <c r="BT72" i="42"/>
  <c r="BS73" i="42"/>
  <c r="BT73" i="42"/>
  <c r="BS74" i="42"/>
  <c r="BT74" i="42"/>
  <c r="BS75" i="42"/>
  <c r="BT75" i="42"/>
  <c r="BS76" i="42"/>
  <c r="BT76" i="42"/>
  <c r="BS77" i="42"/>
  <c r="BT77" i="42"/>
  <c r="BS78" i="42"/>
  <c r="BT78" i="42"/>
  <c r="BS79" i="42"/>
  <c r="BT79" i="42"/>
  <c r="BS80" i="42"/>
  <c r="BT80" i="42"/>
  <c r="BS81" i="42"/>
  <c r="BT81" i="42"/>
  <c r="BS82" i="42"/>
  <c r="BT82" i="42"/>
  <c r="BS83" i="42"/>
  <c r="BT83" i="42"/>
  <c r="BS84" i="42"/>
  <c r="BT84" i="42"/>
  <c r="BS85" i="42"/>
  <c r="BT85" i="42"/>
  <c r="BS86" i="42"/>
  <c r="BT86" i="42"/>
  <c r="BS87" i="42"/>
  <c r="BT87" i="42"/>
  <c r="BS88" i="42"/>
  <c r="BT88" i="42"/>
  <c r="BS89" i="42"/>
  <c r="BT89" i="42"/>
  <c r="BS90" i="42"/>
  <c r="BT90" i="42"/>
  <c r="BS91" i="42"/>
  <c r="BT91" i="42"/>
  <c r="BS92" i="42"/>
  <c r="BT92" i="42"/>
  <c r="H32" i="42"/>
  <c r="I32" i="42"/>
  <c r="K32" i="42"/>
  <c r="N32" i="42"/>
  <c r="BV62" i="42"/>
  <c r="BU62" i="42" s="1"/>
  <c r="BU63" i="42" s="1"/>
  <c r="BU64" i="42" s="1"/>
  <c r="BU65" i="42" s="1"/>
  <c r="BU66" i="42" s="1"/>
  <c r="BU67" i="42" s="1"/>
  <c r="BU68" i="42" s="1"/>
  <c r="BU69" i="42" s="1"/>
  <c r="BU70" i="42" s="1"/>
  <c r="BU71" i="42" s="1"/>
  <c r="BU72" i="42" s="1"/>
  <c r="BU73" i="42" s="1"/>
  <c r="BU74" i="42" s="1"/>
  <c r="BU75" i="42" s="1"/>
  <c r="BU76" i="42" s="1"/>
  <c r="BU77" i="42" s="1"/>
  <c r="BU78" i="42" s="1"/>
  <c r="BU79" i="42" s="1"/>
  <c r="BU80" i="42" s="1"/>
  <c r="BU81" i="42" s="1"/>
  <c r="BU82" i="42" s="1"/>
  <c r="BU83" i="42" s="1"/>
  <c r="BU84" i="42" s="1"/>
  <c r="BU85" i="42" s="1"/>
  <c r="BU86" i="42" s="1"/>
  <c r="BU87" i="42" s="1"/>
  <c r="BU88" i="42" s="1"/>
  <c r="BU89" i="42" s="1"/>
  <c r="BU90" i="42" s="1"/>
  <c r="BU91" i="42" s="1"/>
  <c r="BU92" i="42" s="1"/>
  <c r="BU93" i="42" s="1"/>
  <c r="H33" i="42"/>
  <c r="I33" i="42"/>
  <c r="K33" i="42"/>
  <c r="N33" i="42"/>
  <c r="BV65" i="42"/>
  <c r="H34" i="42"/>
  <c r="I34" i="42"/>
  <c r="K34" i="42"/>
  <c r="N34" i="42"/>
  <c r="BV68" i="42"/>
  <c r="H35" i="42"/>
  <c r="I35" i="42"/>
  <c r="J35" i="42"/>
  <c r="K35" i="42"/>
  <c r="N35" i="42"/>
  <c r="BV71" i="42"/>
  <c r="H36" i="42"/>
  <c r="I36" i="42"/>
  <c r="K36" i="42"/>
  <c r="N36" i="42"/>
  <c r="BV75" i="42"/>
  <c r="BV76" i="42"/>
  <c r="H37" i="42"/>
  <c r="I37" i="42"/>
  <c r="J37" i="42"/>
  <c r="K37" i="42"/>
  <c r="N37" i="42"/>
  <c r="BV77" i="42"/>
  <c r="H38" i="42"/>
  <c r="K38" i="42"/>
  <c r="N38" i="42"/>
  <c r="BV80" i="42"/>
  <c r="H39" i="42"/>
  <c r="I39" i="42"/>
  <c r="K39" i="42"/>
  <c r="N39" i="42"/>
  <c r="BV84" i="42"/>
  <c r="BV85" i="42"/>
  <c r="H40" i="42"/>
  <c r="I40" i="42"/>
  <c r="K40" i="42"/>
  <c r="N40" i="42"/>
  <c r="BV86" i="42"/>
  <c r="H41" i="42"/>
  <c r="I41" i="42"/>
  <c r="K41" i="42"/>
  <c r="N41" i="42"/>
  <c r="BV89" i="42"/>
  <c r="H42" i="42"/>
  <c r="K42" i="42"/>
  <c r="N42" i="42"/>
  <c r="BV93" i="42"/>
  <c r="H32" i="52"/>
  <c r="I32" i="52"/>
  <c r="J32" i="52"/>
  <c r="K32" i="52"/>
  <c r="L32" i="52"/>
  <c r="AP32" i="52" s="1"/>
  <c r="M32" i="52"/>
  <c r="AH32" i="52" s="1"/>
  <c r="N32" i="52"/>
  <c r="H33" i="52"/>
  <c r="I33" i="52"/>
  <c r="J33" i="52"/>
  <c r="K33" i="52"/>
  <c r="L33" i="52"/>
  <c r="AP33" i="52"/>
  <c r="M33" i="52"/>
  <c r="AI33" i="52" s="1"/>
  <c r="N33" i="52"/>
  <c r="H34" i="52"/>
  <c r="I34" i="52"/>
  <c r="BK34" i="52" s="1"/>
  <c r="J34" i="52"/>
  <c r="K34" i="52"/>
  <c r="L34" i="52"/>
  <c r="AP34" i="52" s="1"/>
  <c r="M34" i="52"/>
  <c r="AG34" i="52" s="1"/>
  <c r="N34" i="52"/>
  <c r="H35" i="52"/>
  <c r="I35" i="52"/>
  <c r="J35" i="52"/>
  <c r="K35" i="52"/>
  <c r="L35" i="52"/>
  <c r="M35" i="52"/>
  <c r="AD35" i="52" s="1"/>
  <c r="N35" i="52"/>
  <c r="H36" i="52"/>
  <c r="I36" i="52"/>
  <c r="BK36" i="52" s="1"/>
  <c r="J36" i="52"/>
  <c r="K36" i="52"/>
  <c r="L36" i="52"/>
  <c r="AP36" i="52" s="1"/>
  <c r="M36" i="52"/>
  <c r="AF36" i="52" s="1"/>
  <c r="N36" i="52"/>
  <c r="H37" i="52"/>
  <c r="I37" i="52"/>
  <c r="J37" i="52"/>
  <c r="K37" i="52"/>
  <c r="L37" i="52"/>
  <c r="M37" i="52"/>
  <c r="AF37" i="52" s="1"/>
  <c r="N37" i="52"/>
  <c r="H38" i="52"/>
  <c r="I38" i="52"/>
  <c r="BK38" i="52" s="1"/>
  <c r="J38" i="52"/>
  <c r="K38" i="52"/>
  <c r="L38" i="52"/>
  <c r="AP38" i="52" s="1"/>
  <c r="M38" i="52"/>
  <c r="AD38" i="52" s="1"/>
  <c r="N38" i="52"/>
  <c r="H39" i="52"/>
  <c r="I39" i="52"/>
  <c r="BK39" i="52" s="1"/>
  <c r="J39" i="52"/>
  <c r="K39" i="52"/>
  <c r="L39" i="52"/>
  <c r="AP39" i="52" s="1"/>
  <c r="AS39" i="52" s="1"/>
  <c r="M39" i="52"/>
  <c r="N39" i="52"/>
  <c r="H40" i="52"/>
  <c r="I40" i="52"/>
  <c r="J40" i="52"/>
  <c r="K40" i="52"/>
  <c r="L40" i="52"/>
  <c r="M40" i="52"/>
  <c r="AH40" i="52" s="1"/>
  <c r="N40" i="52"/>
  <c r="H41" i="52"/>
  <c r="I41" i="52"/>
  <c r="BK41" i="52" s="1"/>
  <c r="J41" i="52"/>
  <c r="K41" i="52"/>
  <c r="L41" i="52"/>
  <c r="AP41" i="52"/>
  <c r="AQ41" i="52" s="1"/>
  <c r="M41" i="52"/>
  <c r="AE41" i="52" s="1"/>
  <c r="N41" i="52"/>
  <c r="H42" i="52"/>
  <c r="I42" i="52"/>
  <c r="J42" i="52"/>
  <c r="K42" i="52"/>
  <c r="L42" i="52"/>
  <c r="M42" i="52"/>
  <c r="AH42" i="52" s="1"/>
  <c r="N42" i="52"/>
  <c r="AP42" i="52"/>
  <c r="AP40" i="52"/>
  <c r="L27" i="52"/>
  <c r="AP35" i="52"/>
  <c r="AP27" i="52"/>
  <c r="BU23" i="52"/>
  <c r="BV24" i="52"/>
  <c r="BS25" i="52"/>
  <c r="BT21" i="52"/>
  <c r="BT24" i="52" s="1"/>
  <c r="BT20" i="52"/>
  <c r="BT23" i="52" s="1"/>
  <c r="BT26" i="52"/>
  <c r="BT29" i="52"/>
  <c r="BT32" i="52"/>
  <c r="BT35" i="52"/>
  <c r="BT38" i="52" s="1"/>
  <c r="BT41" i="52" s="1"/>
  <c r="BT44" i="52" s="1"/>
  <c r="BT47" i="52" s="1"/>
  <c r="BT50" i="52" s="1"/>
  <c r="BT53" i="52" s="1"/>
  <c r="BT56" i="52" s="1"/>
  <c r="BT59" i="52" s="1"/>
  <c r="BT62" i="52" s="1"/>
  <c r="BT65" i="52" s="1"/>
  <c r="BT68" i="52" s="1"/>
  <c r="BT71" i="52" s="1"/>
  <c r="BT74" i="52" s="1"/>
  <c r="BT77" i="52" s="1"/>
  <c r="BT80" i="52" s="1"/>
  <c r="BT83" i="52" s="1"/>
  <c r="BT86" i="52" s="1"/>
  <c r="BT89" i="52" s="1"/>
  <c r="BT92" i="52" s="1"/>
  <c r="BT19" i="52"/>
  <c r="BV83" i="42"/>
  <c r="BV81" i="42"/>
  <c r="BV82" i="42"/>
  <c r="BV69" i="42"/>
  <c r="BV70" i="42"/>
  <c r="BV63" i="42"/>
  <c r="BV92" i="42"/>
  <c r="BV66" i="42"/>
  <c r="BV67" i="42"/>
  <c r="L32" i="42"/>
  <c r="BV78" i="42"/>
  <c r="BV79" i="42"/>
  <c r="BV90" i="42"/>
  <c r="BV91" i="42"/>
  <c r="BV87" i="42"/>
  <c r="BV88" i="42"/>
  <c r="BV74" i="42"/>
  <c r="BV72" i="42"/>
  <c r="BV73" i="42"/>
  <c r="L36" i="42"/>
  <c r="J36" i="42"/>
  <c r="L37" i="42"/>
  <c r="L40" i="42"/>
  <c r="I42" i="42"/>
  <c r="L42" i="42"/>
  <c r="J41" i="42"/>
  <c r="L41" i="42"/>
  <c r="J39" i="42"/>
  <c r="L39" i="42"/>
  <c r="J40" i="42"/>
  <c r="L35" i="42"/>
  <c r="J32" i="42"/>
  <c r="L34" i="42"/>
  <c r="J34" i="42"/>
  <c r="J33" i="42"/>
  <c r="L33" i="42"/>
  <c r="I38" i="42"/>
  <c r="BT22" i="52"/>
  <c r="BV25" i="52"/>
  <c r="BU25" i="52" s="1"/>
  <c r="BS28" i="52"/>
  <c r="BV64" i="42"/>
  <c r="J42" i="42"/>
  <c r="J38" i="42"/>
  <c r="L38" i="42"/>
  <c r="BT25" i="52"/>
  <c r="BT28" i="52" s="1"/>
  <c r="BV28" i="52"/>
  <c r="BS31" i="52"/>
  <c r="BV31" i="52" s="1"/>
  <c r="BS34" i="52"/>
  <c r="BS21" i="42"/>
  <c r="BS22" i="42"/>
  <c r="BS23" i="42"/>
  <c r="BS24" i="42"/>
  <c r="BS27" i="42"/>
  <c r="BS25" i="42"/>
  <c r="BS28" i="42"/>
  <c r="BS31" i="42"/>
  <c r="BT18" i="42"/>
  <c r="BT19" i="42"/>
  <c r="BT22" i="42"/>
  <c r="BT25" i="42"/>
  <c r="BT28" i="42"/>
  <c r="BT31" i="42"/>
  <c r="BT34" i="42"/>
  <c r="BT37" i="42"/>
  <c r="BT40" i="42"/>
  <c r="BT43" i="42"/>
  <c r="BT46" i="42"/>
  <c r="BT49" i="42"/>
  <c r="BT52" i="42"/>
  <c r="BT55" i="42"/>
  <c r="BT58" i="42"/>
  <c r="BT61" i="42"/>
  <c r="BT64" i="42"/>
  <c r="BS34" i="42"/>
  <c r="BS30" i="42"/>
  <c r="BT20" i="42"/>
  <c r="BT23" i="42"/>
  <c r="BT26" i="42"/>
  <c r="BT29" i="42"/>
  <c r="BT32" i="42"/>
  <c r="BT35" i="42"/>
  <c r="BT38" i="42"/>
  <c r="BT41" i="42"/>
  <c r="BT44" i="42"/>
  <c r="BT47" i="42"/>
  <c r="BT50" i="42"/>
  <c r="BT53" i="42"/>
  <c r="BT56" i="42"/>
  <c r="BT59" i="42"/>
  <c r="BT62" i="42"/>
  <c r="BT65" i="42"/>
  <c r="BS26" i="42"/>
  <c r="BT21" i="42"/>
  <c r="BT24" i="42"/>
  <c r="BT27" i="42"/>
  <c r="BT30" i="42"/>
  <c r="BT33" i="42"/>
  <c r="BT36" i="42"/>
  <c r="BT39" i="42"/>
  <c r="BT42" i="42"/>
  <c r="BT45" i="42"/>
  <c r="BT48" i="42"/>
  <c r="BT51" i="42"/>
  <c r="BT54" i="42"/>
  <c r="BT57" i="42"/>
  <c r="BT60" i="42"/>
  <c r="BT63" i="42"/>
  <c r="BS29" i="42"/>
  <c r="BS33" i="42"/>
  <c r="BS37" i="42"/>
  <c r="BS40" i="42"/>
  <c r="BS36" i="42"/>
  <c r="BS32" i="42"/>
  <c r="BS35" i="42"/>
  <c r="BS39" i="42"/>
  <c r="BS43" i="42"/>
  <c r="BS46" i="42"/>
  <c r="BS42" i="42"/>
  <c r="BS38" i="42"/>
  <c r="BS41" i="42"/>
  <c r="BS45" i="42"/>
  <c r="BS49" i="42"/>
  <c r="BS52" i="42"/>
  <c r="BS48" i="42"/>
  <c r="BS44" i="42"/>
  <c r="BS47" i="42"/>
  <c r="BS51" i="42"/>
  <c r="BS55" i="42"/>
  <c r="BS58" i="42"/>
  <c r="BS54" i="42"/>
  <c r="BS50" i="42"/>
  <c r="BS57" i="42"/>
  <c r="BS53" i="42"/>
  <c r="BS61" i="42"/>
  <c r="BS64" i="42"/>
  <c r="BS56" i="42"/>
  <c r="BS60" i="42"/>
  <c r="BS63" i="42"/>
  <c r="BS59" i="42"/>
  <c r="BS62" i="42"/>
  <c r="BS65" i="42"/>
  <c r="AJ18" i="42"/>
  <c r="H17" i="52"/>
  <c r="H18" i="52"/>
  <c r="I18" i="52" s="1"/>
  <c r="BO42" i="52"/>
  <c r="BJ42" i="52"/>
  <c r="BI42" i="52"/>
  <c r="BH42" i="52"/>
  <c r="BG42" i="52"/>
  <c r="BF42" i="52"/>
  <c r="BA42" i="52"/>
  <c r="AN42" i="52"/>
  <c r="AL42" i="52"/>
  <c r="AC42" i="52"/>
  <c r="W42" i="52"/>
  <c r="T42" i="52"/>
  <c r="P42" i="52"/>
  <c r="BK42" i="52"/>
  <c r="BO41" i="52"/>
  <c r="BJ41" i="52"/>
  <c r="BI41" i="52"/>
  <c r="BH41" i="52"/>
  <c r="BG41" i="52"/>
  <c r="BF41" i="52"/>
  <c r="BA41" i="52"/>
  <c r="AN41" i="52"/>
  <c r="AL41" i="52"/>
  <c r="AM41" i="52" s="1"/>
  <c r="AC41" i="52"/>
  <c r="W41" i="52"/>
  <c r="BO40" i="52"/>
  <c r="BJ40" i="52"/>
  <c r="BI40" i="52"/>
  <c r="BH40" i="52"/>
  <c r="BG40" i="52"/>
  <c r="BF40" i="52"/>
  <c r="BA40" i="52"/>
  <c r="AN40" i="52"/>
  <c r="AL40" i="52"/>
  <c r="AC40" i="52"/>
  <c r="W40" i="52"/>
  <c r="AE40" i="52"/>
  <c r="BK40" i="52"/>
  <c r="BO39" i="52"/>
  <c r="BJ39" i="52"/>
  <c r="BI39" i="52"/>
  <c r="BH39" i="52"/>
  <c r="BG39" i="52"/>
  <c r="BF39" i="52"/>
  <c r="BB39" i="52"/>
  <c r="BA39" i="52"/>
  <c r="AN39" i="52"/>
  <c r="AL39" i="52"/>
  <c r="AC39" i="52"/>
  <c r="W39" i="52"/>
  <c r="BO38" i="52"/>
  <c r="BJ38" i="52"/>
  <c r="BI38" i="52"/>
  <c r="BH38" i="52"/>
  <c r="BG38" i="52"/>
  <c r="BF38" i="52"/>
  <c r="BA38" i="52"/>
  <c r="AJ38" i="52"/>
  <c r="AN38" i="52"/>
  <c r="AL38" i="52"/>
  <c r="AC38" i="52"/>
  <c r="W38" i="52"/>
  <c r="AF38" i="52"/>
  <c r="BO37" i="52"/>
  <c r="BJ37" i="52"/>
  <c r="BI37" i="52"/>
  <c r="BH37" i="52"/>
  <c r="BG37" i="52"/>
  <c r="BF37" i="52"/>
  <c r="BA37" i="52"/>
  <c r="AN37" i="52"/>
  <c r="AL37" i="52"/>
  <c r="AC37" i="52"/>
  <c r="W37" i="52"/>
  <c r="BK37" i="52"/>
  <c r="BO36" i="52"/>
  <c r="BJ36" i="52"/>
  <c r="BI36" i="52"/>
  <c r="BH36" i="52"/>
  <c r="BG36" i="52"/>
  <c r="BF36" i="52"/>
  <c r="BA36" i="52"/>
  <c r="AN36" i="52"/>
  <c r="AL36" i="52"/>
  <c r="AC36" i="52"/>
  <c r="W36" i="52"/>
  <c r="AI36" i="52"/>
  <c r="BO35" i="52"/>
  <c r="BJ35" i="52"/>
  <c r="BI35" i="52"/>
  <c r="BH35" i="52"/>
  <c r="BG35" i="52"/>
  <c r="BF35" i="52"/>
  <c r="BA35" i="52"/>
  <c r="AN35" i="52"/>
  <c r="AL35" i="52"/>
  <c r="AC35" i="52"/>
  <c r="W35" i="52"/>
  <c r="AG35" i="52"/>
  <c r="BK35" i="52"/>
  <c r="BO34" i="52"/>
  <c r="BJ34" i="52"/>
  <c r="BI34" i="52"/>
  <c r="BH34" i="52"/>
  <c r="BG34" i="52"/>
  <c r="BF34" i="52"/>
  <c r="BB34" i="52"/>
  <c r="BA34" i="52"/>
  <c r="AN34" i="52"/>
  <c r="AL34" i="52"/>
  <c r="AC34" i="52"/>
  <c r="W34" i="52"/>
  <c r="BO33" i="52"/>
  <c r="BP33" i="52" s="1"/>
  <c r="BJ33" i="52"/>
  <c r="BI33" i="52"/>
  <c r="BH33" i="52"/>
  <c r="BG33" i="52"/>
  <c r="BF33" i="52"/>
  <c r="BA33" i="52"/>
  <c r="AN33" i="52"/>
  <c r="AL33" i="52"/>
  <c r="AC33" i="52"/>
  <c r="W33" i="52"/>
  <c r="BK33" i="52"/>
  <c r="BO32" i="52"/>
  <c r="BP32" i="52" s="1"/>
  <c r="BJ32" i="52"/>
  <c r="BI32" i="52"/>
  <c r="BH32" i="52"/>
  <c r="BG32" i="52"/>
  <c r="BF32" i="52"/>
  <c r="BA32" i="52"/>
  <c r="AN32" i="52"/>
  <c r="AL32" i="52"/>
  <c r="AM33" i="52" s="1"/>
  <c r="AC32" i="52"/>
  <c r="W32" i="52"/>
  <c r="BK32" i="52"/>
  <c r="AN31" i="52"/>
  <c r="AC31" i="52"/>
  <c r="W31" i="52"/>
  <c r="N31" i="52"/>
  <c r="K31" i="52"/>
  <c r="H31" i="52"/>
  <c r="AN30" i="52"/>
  <c r="AC30" i="52"/>
  <c r="N30" i="52"/>
  <c r="K30" i="52"/>
  <c r="H30" i="52"/>
  <c r="I30" i="52" s="1"/>
  <c r="AN29" i="52"/>
  <c r="AC29" i="52"/>
  <c r="N29" i="52"/>
  <c r="K29" i="52"/>
  <c r="H29" i="52"/>
  <c r="AN28" i="52"/>
  <c r="AC28" i="52"/>
  <c r="N28" i="52"/>
  <c r="K28" i="52"/>
  <c r="H28" i="52"/>
  <c r="I28" i="52"/>
  <c r="AN27" i="52"/>
  <c r="AC27" i="52"/>
  <c r="N27" i="52"/>
  <c r="K27" i="52"/>
  <c r="H27" i="52"/>
  <c r="I27" i="52"/>
  <c r="AN26" i="52"/>
  <c r="AC26" i="52"/>
  <c r="N26" i="52"/>
  <c r="K26" i="52"/>
  <c r="H26" i="52"/>
  <c r="I26" i="52" s="1"/>
  <c r="AJ26" i="52"/>
  <c r="AN25" i="52"/>
  <c r="AC25" i="52"/>
  <c r="N25" i="52"/>
  <c r="K25" i="52"/>
  <c r="H25" i="52"/>
  <c r="I25" i="52" s="1"/>
  <c r="AN24" i="52"/>
  <c r="BC23" i="52" s="1"/>
  <c r="BB24" i="52"/>
  <c r="AC24" i="52"/>
  <c r="N24" i="52"/>
  <c r="K24" i="52"/>
  <c r="H24" i="52"/>
  <c r="I24" i="52" s="1"/>
  <c r="AN23" i="52"/>
  <c r="AC23" i="52"/>
  <c r="N23" i="52"/>
  <c r="K23" i="52"/>
  <c r="H23" i="52"/>
  <c r="I23" i="52" s="1"/>
  <c r="AN22" i="52"/>
  <c r="AC22" i="52"/>
  <c r="N22" i="52"/>
  <c r="K22" i="52"/>
  <c r="H22" i="52"/>
  <c r="I22" i="52" s="1"/>
  <c r="AN21" i="52"/>
  <c r="BA21" i="52" s="1"/>
  <c r="BB21" i="52"/>
  <c r="BG21" i="52" s="1"/>
  <c r="AC21" i="52"/>
  <c r="Z21" i="52"/>
  <c r="AA21" i="52" s="1"/>
  <c r="N21" i="52"/>
  <c r="K21" i="52"/>
  <c r="H21" i="52"/>
  <c r="I21" i="52" s="1"/>
  <c r="AN20" i="52"/>
  <c r="AC20" i="52"/>
  <c r="AA20" i="52"/>
  <c r="N20" i="52"/>
  <c r="K20" i="52"/>
  <c r="H20" i="52"/>
  <c r="I20" i="52" s="1"/>
  <c r="W20" i="52" s="1"/>
  <c r="AN19" i="52"/>
  <c r="BE18" i="52"/>
  <c r="AC19" i="52"/>
  <c r="N19" i="52"/>
  <c r="K19" i="52"/>
  <c r="H19" i="52"/>
  <c r="I19" i="52" s="1"/>
  <c r="AN18" i="52"/>
  <c r="AC18" i="52"/>
  <c r="Z18" i="52"/>
  <c r="AA18" i="52"/>
  <c r="N18" i="52"/>
  <c r="BV20" i="52" s="1"/>
  <c r="BU20" i="52" s="1"/>
  <c r="K18" i="52"/>
  <c r="BD17" i="52"/>
  <c r="BB17" i="52"/>
  <c r="AT17" i="52"/>
  <c r="AR17" i="52"/>
  <c r="AQ17" i="52"/>
  <c r="AC17" i="52"/>
  <c r="AA17" i="52"/>
  <c r="W17" i="52"/>
  <c r="T17" i="52"/>
  <c r="Y21" i="52" s="1"/>
  <c r="S17" i="52"/>
  <c r="P17" i="52"/>
  <c r="O17" i="52"/>
  <c r="N17" i="52"/>
  <c r="BV17" i="52" s="1"/>
  <c r="BU17" i="52" s="1"/>
  <c r="K17" i="52"/>
  <c r="AS9" i="52"/>
  <c r="AC9" i="52"/>
  <c r="BC4" i="52"/>
  <c r="AS4" i="52"/>
  <c r="AF4" i="52"/>
  <c r="W1" i="52"/>
  <c r="W3" i="52" s="1"/>
  <c r="AM39" i="52"/>
  <c r="BE29" i="52"/>
  <c r="BJ29" i="52" s="1"/>
  <c r="BO31" i="52"/>
  <c r="BO19" i="52"/>
  <c r="BA31" i="52"/>
  <c r="BP36" i="52"/>
  <c r="BC24" i="52"/>
  <c r="AJ19" i="52"/>
  <c r="BD18" i="52"/>
  <c r="W27" i="52"/>
  <c r="BA19" i="52"/>
  <c r="BE23" i="52"/>
  <c r="AL31" i="52"/>
  <c r="AS36" i="52"/>
  <c r="AJ36" i="52"/>
  <c r="BO30" i="52"/>
  <c r="BO23" i="52"/>
  <c r="BO29" i="52"/>
  <c r="AJ30" i="52"/>
  <c r="BP40" i="52"/>
  <c r="AT42" i="52"/>
  <c r="AR40" i="52"/>
  <c r="AJ40" i="52"/>
  <c r="BO25" i="52"/>
  <c r="AZ35" i="52"/>
  <c r="AJ35" i="52"/>
  <c r="AJ32" i="52"/>
  <c r="AZ41" i="52"/>
  <c r="AJ41" i="52"/>
  <c r="AR33" i="52"/>
  <c r="AJ33" i="52"/>
  <c r="AF40" i="52"/>
  <c r="AM40" i="52"/>
  <c r="AT41" i="52"/>
  <c r="AM34" i="52"/>
  <c r="AO34" i="52" s="1"/>
  <c r="AQ32" i="52"/>
  <c r="AT33" i="52"/>
  <c r="AZ32" i="52"/>
  <c r="BP38" i="52"/>
  <c r="BP42" i="52"/>
  <c r="AM42" i="52"/>
  <c r="AO42" i="52" s="1"/>
  <c r="AO33" i="52"/>
  <c r="AJ25" i="52"/>
  <c r="BB35" i="52"/>
  <c r="AJ18" i="52"/>
  <c r="O18" i="52"/>
  <c r="I17" i="52"/>
  <c r="J18" i="52"/>
  <c r="AL18" i="52"/>
  <c r="W25" i="52"/>
  <c r="BD20" i="52"/>
  <c r="BC18" i="52"/>
  <c r="BB36" i="52"/>
  <c r="BD37" i="52"/>
  <c r="BB27" i="52"/>
  <c r="BG27" i="52" s="1"/>
  <c r="BD36" i="52"/>
  <c r="BE35" i="52"/>
  <c r="BB37" i="52"/>
  <c r="BB29" i="52"/>
  <c r="BD31" i="52"/>
  <c r="BC42" i="52"/>
  <c r="BD26" i="52"/>
  <c r="BI26" i="52"/>
  <c r="BE19" i="52"/>
  <c r="BE27" i="52"/>
  <c r="BJ27" i="52" s="1"/>
  <c r="BA28" i="52"/>
  <c r="BE37" i="52"/>
  <c r="BC37" i="52"/>
  <c r="BE38" i="52"/>
  <c r="BC38" i="52"/>
  <c r="BD39" i="52"/>
  <c r="Y20" i="52"/>
  <c r="AJ24" i="52"/>
  <c r="AJ28" i="52"/>
  <c r="AO39" i="52"/>
  <c r="BB42" i="52"/>
  <c r="BB20" i="52"/>
  <c r="BB25" i="52"/>
  <c r="BC31" i="52"/>
  <c r="AS38" i="52"/>
  <c r="AT38" i="52"/>
  <c r="AZ38" i="52"/>
  <c r="AR38" i="52"/>
  <c r="BD41" i="52"/>
  <c r="AJ20" i="52"/>
  <c r="BB30" i="52"/>
  <c r="BC30" i="52"/>
  <c r="BD40" i="52"/>
  <c r="AE39" i="52"/>
  <c r="J21" i="52"/>
  <c r="AL21" i="52" s="1"/>
  <c r="W21" i="52"/>
  <c r="BE21" i="52"/>
  <c r="BA22" i="52"/>
  <c r="BC21" i="52"/>
  <c r="BD22" i="52"/>
  <c r="BO28" i="52"/>
  <c r="BB19" i="52"/>
  <c r="BG19" i="52"/>
  <c r="BE32" i="52"/>
  <c r="BC32" i="52"/>
  <c r="BD33" i="52"/>
  <c r="BC19" i="52"/>
  <c r="BH19" i="52"/>
  <c r="AJ21" i="52"/>
  <c r="J22" i="52"/>
  <c r="AL22" i="52"/>
  <c r="AJ23" i="52"/>
  <c r="BA24" i="52"/>
  <c r="BD24" i="52"/>
  <c r="I29" i="52"/>
  <c r="W29" i="52"/>
  <c r="BB32" i="52"/>
  <c r="AS33" i="52"/>
  <c r="AQ33" i="52"/>
  <c r="AZ33" i="52"/>
  <c r="BP34" i="52"/>
  <c r="AQ35" i="52"/>
  <c r="AS35" i="52"/>
  <c r="AR35" i="52"/>
  <c r="BP41" i="52"/>
  <c r="BE22" i="52"/>
  <c r="BJ22" i="52"/>
  <c r="BA23" i="52"/>
  <c r="BD23" i="52"/>
  <c r="BB26" i="52"/>
  <c r="BE25" i="52"/>
  <c r="AT35" i="52"/>
  <c r="BC41" i="52"/>
  <c r="BE39" i="52"/>
  <c r="BE30" i="52"/>
  <c r="BE31" i="52"/>
  <c r="AS40" i="52"/>
  <c r="AQ40" i="52"/>
  <c r="AT40" i="52"/>
  <c r="AZ40" i="52"/>
  <c r="BE40" i="52"/>
  <c r="BC40" i="52"/>
  <c r="BB41" i="52"/>
  <c r="AR41" i="52"/>
  <c r="BB23" i="52"/>
  <c r="BA26" i="52"/>
  <c r="J27" i="52"/>
  <c r="AL27" i="52" s="1"/>
  <c r="AM35" i="52"/>
  <c r="AS41" i="52"/>
  <c r="AM36" i="52"/>
  <c r="AO36" i="52" s="1"/>
  <c r="BE28" i="52"/>
  <c r="BA29" i="52"/>
  <c r="BC28" i="52"/>
  <c r="BC35" i="52"/>
  <c r="BE26" i="52"/>
  <c r="BD27" i="52"/>
  <c r="BE33" i="52"/>
  <c r="BC33" i="52"/>
  <c r="BD34" i="52"/>
  <c r="BP35" i="52"/>
  <c r="AO41" i="52"/>
  <c r="AR27" i="52"/>
  <c r="AQ27" i="52"/>
  <c r="AS27" i="52"/>
  <c r="AJ27" i="52"/>
  <c r="AJ22" i="52"/>
  <c r="BI22" i="52"/>
  <c r="J17" i="52"/>
  <c r="AL17" i="52"/>
  <c r="BG25" i="52"/>
  <c r="BI23" i="52"/>
  <c r="BI27" i="52"/>
  <c r="BG29" i="52"/>
  <c r="AJ29" i="52"/>
  <c r="J29" i="52"/>
  <c r="AL29" i="52" s="1"/>
  <c r="H18" i="42"/>
  <c r="I18" i="42"/>
  <c r="W18" i="42"/>
  <c r="AS4" i="42"/>
  <c r="BC4" i="42"/>
  <c r="AS9" i="42"/>
  <c r="AN42" i="42"/>
  <c r="BO41" i="42"/>
  <c r="AL42" i="42"/>
  <c r="AC42" i="42"/>
  <c r="W42" i="42"/>
  <c r="T42" i="42"/>
  <c r="P42" i="42"/>
  <c r="AP42" i="42"/>
  <c r="AJ42" i="42"/>
  <c r="AN41" i="42"/>
  <c r="AL41" i="42"/>
  <c r="AC41" i="42"/>
  <c r="W41" i="42"/>
  <c r="AP41" i="42"/>
  <c r="AJ41" i="42"/>
  <c r="AN40" i="42"/>
  <c r="BA40" i="42"/>
  <c r="AL40" i="42"/>
  <c r="AC40" i="42"/>
  <c r="W40" i="42"/>
  <c r="AP40" i="42"/>
  <c r="AJ40" i="42"/>
  <c r="AN39" i="42"/>
  <c r="BO38" i="42"/>
  <c r="AL39" i="42"/>
  <c r="AC39" i="42"/>
  <c r="W39" i="42"/>
  <c r="AP39" i="42"/>
  <c r="AJ39" i="42"/>
  <c r="AN38" i="42"/>
  <c r="BA38" i="42"/>
  <c r="AL38" i="42"/>
  <c r="AC38" i="42"/>
  <c r="W38" i="42"/>
  <c r="AP38" i="42"/>
  <c r="AJ38" i="42"/>
  <c r="AN37" i="42"/>
  <c r="BA37" i="42"/>
  <c r="AL37" i="42"/>
  <c r="AC37" i="42"/>
  <c r="W37" i="42"/>
  <c r="AN36" i="42"/>
  <c r="BA36" i="42"/>
  <c r="AL36" i="42"/>
  <c r="AC36" i="42"/>
  <c r="W36" i="42"/>
  <c r="AN35" i="42"/>
  <c r="BO35" i="42"/>
  <c r="AL35" i="42"/>
  <c r="AC35" i="42"/>
  <c r="W35" i="42"/>
  <c r="AP35" i="42"/>
  <c r="AJ35" i="42"/>
  <c r="AN34" i="42"/>
  <c r="BO33" i="42"/>
  <c r="AL34" i="42"/>
  <c r="AC34" i="42"/>
  <c r="W34" i="42"/>
  <c r="AP34" i="42"/>
  <c r="AJ34" i="42"/>
  <c r="BA33" i="42"/>
  <c r="AN33" i="42"/>
  <c r="AL33" i="42"/>
  <c r="AC33" i="42"/>
  <c r="W33" i="42"/>
  <c r="AP33" i="42"/>
  <c r="AJ33" i="42"/>
  <c r="AN32" i="42"/>
  <c r="AL32" i="42"/>
  <c r="AC32" i="42"/>
  <c r="W32" i="42"/>
  <c r="AN31" i="42"/>
  <c r="AC31" i="42"/>
  <c r="N31" i="42"/>
  <c r="K31" i="42"/>
  <c r="H31" i="42"/>
  <c r="AN30" i="42"/>
  <c r="AC30" i="42"/>
  <c r="N30" i="42"/>
  <c r="K30" i="42"/>
  <c r="H30" i="42"/>
  <c r="AN29" i="42"/>
  <c r="AC29" i="42"/>
  <c r="N29" i="42"/>
  <c r="K29" i="42"/>
  <c r="H29" i="42"/>
  <c r="AN28" i="42"/>
  <c r="AC28" i="42"/>
  <c r="N28" i="42"/>
  <c r="K28" i="42"/>
  <c r="H28" i="42"/>
  <c r="I28" i="42"/>
  <c r="W28" i="42"/>
  <c r="AN27" i="42"/>
  <c r="AC27" i="42"/>
  <c r="N27" i="42"/>
  <c r="K27" i="42"/>
  <c r="H27" i="42"/>
  <c r="I27" i="42"/>
  <c r="W27" i="42"/>
  <c r="AN26" i="42"/>
  <c r="AC26" i="42"/>
  <c r="N26" i="42"/>
  <c r="K26" i="42"/>
  <c r="H26" i="42"/>
  <c r="AN25" i="42"/>
  <c r="AC25" i="42"/>
  <c r="N25" i="42"/>
  <c r="K25" i="42"/>
  <c r="H25" i="42"/>
  <c r="I25" i="42"/>
  <c r="AN24" i="42"/>
  <c r="AC24" i="42"/>
  <c r="N24" i="42"/>
  <c r="K24" i="42"/>
  <c r="H24" i="42"/>
  <c r="I24" i="42"/>
  <c r="W24" i="42"/>
  <c r="AN23" i="42"/>
  <c r="AC23" i="42"/>
  <c r="N23" i="42"/>
  <c r="K23" i="42"/>
  <c r="H23" i="42"/>
  <c r="AN22" i="42"/>
  <c r="AC22" i="42"/>
  <c r="N22" i="42"/>
  <c r="K22" i="42"/>
  <c r="H22" i="42"/>
  <c r="AN21" i="42"/>
  <c r="AC21" i="42"/>
  <c r="Z21" i="42"/>
  <c r="AA21" i="42"/>
  <c r="N21" i="42"/>
  <c r="K21" i="42"/>
  <c r="H21" i="42"/>
  <c r="I21" i="42"/>
  <c r="W21" i="42"/>
  <c r="AN20" i="42"/>
  <c r="AC20" i="42"/>
  <c r="AA20" i="42"/>
  <c r="N20" i="42"/>
  <c r="K20" i="42"/>
  <c r="H20" i="42"/>
  <c r="AN19" i="42"/>
  <c r="AC19" i="42"/>
  <c r="N19" i="42"/>
  <c r="K19" i="42"/>
  <c r="H19" i="42"/>
  <c r="AN18" i="42"/>
  <c r="BO17" i="42"/>
  <c r="AC18" i="42"/>
  <c r="Z18" i="42"/>
  <c r="AA18" i="42"/>
  <c r="N18" i="42"/>
  <c r="K18" i="42"/>
  <c r="BD17" i="42"/>
  <c r="BB17" i="42"/>
  <c r="AT17" i="42"/>
  <c r="AR17" i="42"/>
  <c r="AQ17" i="42"/>
  <c r="AC17" i="42"/>
  <c r="AA17" i="42"/>
  <c r="W17" i="42"/>
  <c r="T17" i="42"/>
  <c r="S17" i="42"/>
  <c r="P17" i="42"/>
  <c r="Y17" i="42"/>
  <c r="O17" i="42"/>
  <c r="N17" i="42"/>
  <c r="K17" i="42"/>
  <c r="H17" i="42"/>
  <c r="AC9" i="42"/>
  <c r="AF4" i="42"/>
  <c r="W1" i="42"/>
  <c r="W3" i="42"/>
  <c r="BV36" i="42"/>
  <c r="BU36" i="42"/>
  <c r="BV35" i="42"/>
  <c r="BU35" i="42"/>
  <c r="BV27" i="42"/>
  <c r="BU27" i="42"/>
  <c r="BV26" i="42"/>
  <c r="BU26" i="42"/>
  <c r="BV41" i="42"/>
  <c r="BU41" i="42"/>
  <c r="BV42" i="42"/>
  <c r="BU42" i="42"/>
  <c r="BV29" i="42"/>
  <c r="BU29" i="42"/>
  <c r="BV30" i="42"/>
  <c r="BU30" i="42"/>
  <c r="BV50" i="42"/>
  <c r="BU50" i="42"/>
  <c r="BV51" i="42"/>
  <c r="BU51" i="42"/>
  <c r="BV33" i="42"/>
  <c r="BU33" i="42"/>
  <c r="BV32" i="42"/>
  <c r="BU32" i="42"/>
  <c r="BV47" i="42"/>
  <c r="BU47" i="42"/>
  <c r="BV48" i="42"/>
  <c r="BU48" i="42"/>
  <c r="BV44" i="42"/>
  <c r="BU44" i="42"/>
  <c r="BV45" i="42"/>
  <c r="BU45" i="42"/>
  <c r="BV56" i="42"/>
  <c r="BU56" i="42"/>
  <c r="BV57" i="42"/>
  <c r="BU57" i="42"/>
  <c r="BV39" i="42"/>
  <c r="BU39" i="42"/>
  <c r="BV38" i="42"/>
  <c r="BU38" i="42"/>
  <c r="BV23" i="42"/>
  <c r="BU23" i="42"/>
  <c r="BV24" i="42"/>
  <c r="BU24" i="42"/>
  <c r="BV53" i="42"/>
  <c r="BU53" i="42"/>
  <c r="BV54" i="42"/>
  <c r="BU54" i="42"/>
  <c r="BV59" i="42"/>
  <c r="BU59" i="42"/>
  <c r="BV60" i="42"/>
  <c r="BU60" i="42"/>
  <c r="BO37" i="42"/>
  <c r="BA34" i="42"/>
  <c r="BO34" i="42"/>
  <c r="BA35" i="42"/>
  <c r="BO36" i="42"/>
  <c r="BP36" i="42"/>
  <c r="BO40" i="42"/>
  <c r="BP40" i="42"/>
  <c r="BA41" i="42"/>
  <c r="BA42" i="42"/>
  <c r="BA39" i="42"/>
  <c r="BO39" i="42"/>
  <c r="BP39" i="42"/>
  <c r="BO42" i="42"/>
  <c r="BP42" i="42"/>
  <c r="BV21" i="42"/>
  <c r="BU21" i="42"/>
  <c r="BV17" i="42"/>
  <c r="BU17" i="42" s="1"/>
  <c r="BV18" i="42"/>
  <c r="BU18" i="42"/>
  <c r="BV20" i="42"/>
  <c r="BU20" i="42"/>
  <c r="AP36" i="42"/>
  <c r="AJ36" i="42"/>
  <c r="BP37" i="42"/>
  <c r="AP37" i="42"/>
  <c r="AJ37" i="42"/>
  <c r="AZ39" i="42"/>
  <c r="AZ34" i="42"/>
  <c r="AT40" i="42"/>
  <c r="AR35" i="42"/>
  <c r="AQ42" i="42"/>
  <c r="I19" i="42"/>
  <c r="J19" i="42"/>
  <c r="AL19" i="42"/>
  <c r="I22" i="42"/>
  <c r="W22" i="42"/>
  <c r="I29" i="42"/>
  <c r="I23" i="42"/>
  <c r="W23" i="42"/>
  <c r="I26" i="42"/>
  <c r="BA20" i="42"/>
  <c r="BO24" i="42"/>
  <c r="BO32" i="42"/>
  <c r="BC25" i="42"/>
  <c r="BH25" i="42"/>
  <c r="BO26" i="42"/>
  <c r="BA23" i="42"/>
  <c r="BO30" i="42"/>
  <c r="BA26" i="42"/>
  <c r="BO21" i="42"/>
  <c r="BC31" i="42"/>
  <c r="BE31" i="42"/>
  <c r="AM34" i="42"/>
  <c r="AO34" i="42"/>
  <c r="BE18" i="42"/>
  <c r="AS42" i="42"/>
  <c r="BA17" i="42"/>
  <c r="BA18" i="42"/>
  <c r="AT42" i="42"/>
  <c r="BO27" i="42"/>
  <c r="BA32" i="42"/>
  <c r="AR40" i="42"/>
  <c r="BP38" i="42"/>
  <c r="BA29" i="42"/>
  <c r="BA21" i="42"/>
  <c r="Y18" i="42"/>
  <c r="BO19" i="42"/>
  <c r="BA19" i="42"/>
  <c r="BA25" i="42"/>
  <c r="BO22" i="42"/>
  <c r="AR39" i="42"/>
  <c r="BA27" i="42"/>
  <c r="AM40" i="42"/>
  <c r="AO40" i="42"/>
  <c r="AM42" i="42"/>
  <c r="AO42" i="42"/>
  <c r="AS39" i="42"/>
  <c r="BP34" i="42"/>
  <c r="BP35" i="42"/>
  <c r="AT39" i="42"/>
  <c r="BP33" i="42"/>
  <c r="BD18" i="42"/>
  <c r="AM36" i="42"/>
  <c r="AO36" i="42"/>
  <c r="BC32" i="42"/>
  <c r="BB21" i="42"/>
  <c r="BG21" i="42"/>
  <c r="BC26" i="42"/>
  <c r="BB27" i="42"/>
  <c r="BG27" i="42"/>
  <c r="BD33" i="42"/>
  <c r="BC22" i="42"/>
  <c r="BD27" i="42"/>
  <c r="BB30" i="42"/>
  <c r="P18" i="42"/>
  <c r="P19" i="42"/>
  <c r="P20" i="42"/>
  <c r="P21" i="42"/>
  <c r="P22" i="42"/>
  <c r="P23" i="42"/>
  <c r="P24" i="42"/>
  <c r="P25" i="42"/>
  <c r="P26" i="42"/>
  <c r="P27" i="42"/>
  <c r="P28" i="42"/>
  <c r="P29" i="42"/>
  <c r="P30" i="42"/>
  <c r="P31" i="42"/>
  <c r="P32" i="42"/>
  <c r="P33" i="42"/>
  <c r="P34" i="42"/>
  <c r="P35" i="42"/>
  <c r="P36" i="42"/>
  <c r="P37" i="42"/>
  <c r="P38" i="42"/>
  <c r="P39" i="42"/>
  <c r="P40" i="42"/>
  <c r="P41" i="42"/>
  <c r="J21" i="42"/>
  <c r="AL21" i="42"/>
  <c r="BC34" i="42"/>
  <c r="BH34" i="42"/>
  <c r="BE36" i="42"/>
  <c r="BJ36" i="42"/>
  <c r="BC18" i="42"/>
  <c r="BD34" i="42"/>
  <c r="L21" i="42"/>
  <c r="AP21" i="42"/>
  <c r="AJ21" i="42"/>
  <c r="J28" i="42"/>
  <c r="AL28" i="42"/>
  <c r="L28" i="42"/>
  <c r="AP28" i="42"/>
  <c r="AJ28" i="42"/>
  <c r="AT35" i="42"/>
  <c r="AQ35" i="42"/>
  <c r="AS35" i="42"/>
  <c r="AZ35" i="42"/>
  <c r="BD19" i="42"/>
  <c r="BD40" i="42"/>
  <c r="BB38" i="42"/>
  <c r="BG38" i="42"/>
  <c r="BB32" i="42"/>
  <c r="BE39" i="42"/>
  <c r="BJ39" i="42"/>
  <c r="BD26" i="42"/>
  <c r="BE19" i="42"/>
  <c r="BE42" i="42"/>
  <c r="BJ42" i="42"/>
  <c r="BD39" i="42"/>
  <c r="BC37" i="42"/>
  <c r="BH37" i="42"/>
  <c r="BB26" i="42"/>
  <c r="BE27" i="42"/>
  <c r="BJ27" i="42"/>
  <c r="BC28" i="42"/>
  <c r="BH28" i="42"/>
  <c r="BC42" i="42"/>
  <c r="BH42" i="42"/>
  <c r="BB28" i="42"/>
  <c r="BG28" i="42"/>
  <c r="BC19" i="42"/>
  <c r="BC17" i="42"/>
  <c r="BB42" i="42"/>
  <c r="BG42" i="42"/>
  <c r="BE21" i="42"/>
  <c r="BJ21" i="42"/>
  <c r="BE41" i="42"/>
  <c r="BJ41" i="42"/>
  <c r="BB40" i="42"/>
  <c r="BG40" i="42"/>
  <c r="BE29" i="42"/>
  <c r="BD38" i="42"/>
  <c r="BE37" i="42"/>
  <c r="BJ37" i="42"/>
  <c r="BE35" i="42"/>
  <c r="BJ35" i="42"/>
  <c r="BD29" i="42"/>
  <c r="BE25" i="42"/>
  <c r="BJ25" i="42"/>
  <c r="BB19" i="42"/>
  <c r="BC36" i="42"/>
  <c r="BH36" i="42"/>
  <c r="BD31" i="42"/>
  <c r="BE24" i="42"/>
  <c r="BJ24" i="42"/>
  <c r="BB23" i="42"/>
  <c r="BB22" i="42"/>
  <c r="BB41" i="42"/>
  <c r="BG41" i="42"/>
  <c r="BD25" i="42"/>
  <c r="BI25" i="42"/>
  <c r="BC24" i="42"/>
  <c r="BH24" i="42"/>
  <c r="BD32" i="42"/>
  <c r="BC38" i="42"/>
  <c r="BH38" i="42"/>
  <c r="BC30" i="42"/>
  <c r="BB29" i="42"/>
  <c r="BB20" i="42"/>
  <c r="BD21" i="42"/>
  <c r="AQ33" i="42"/>
  <c r="AS33" i="42"/>
  <c r="AT33" i="42"/>
  <c r="AR33" i="42"/>
  <c r="AT41" i="42"/>
  <c r="AQ41" i="42"/>
  <c r="AS41" i="42"/>
  <c r="AR41" i="42"/>
  <c r="Y21" i="42"/>
  <c r="Y20" i="42"/>
  <c r="BD20" i="42"/>
  <c r="AZ33" i="42"/>
  <c r="BD35" i="42"/>
  <c r="AM33" i="42"/>
  <c r="AO33" i="42"/>
  <c r="BC33" i="42"/>
  <c r="BH33" i="42"/>
  <c r="BB34" i="42"/>
  <c r="BG34" i="42"/>
  <c r="BE33" i="42"/>
  <c r="BJ33" i="42"/>
  <c r="AS34" i="42"/>
  <c r="AT34" i="42"/>
  <c r="AR34" i="42"/>
  <c r="AQ34" i="42"/>
  <c r="L24" i="42"/>
  <c r="AP24" i="42"/>
  <c r="AJ24" i="42"/>
  <c r="BE40" i="42"/>
  <c r="BJ40" i="42"/>
  <c r="BC40" i="42"/>
  <c r="BH40" i="42"/>
  <c r="BD41" i="42"/>
  <c r="BE22" i="42"/>
  <c r="BD23" i="42"/>
  <c r="J24" i="42"/>
  <c r="AL24" i="42"/>
  <c r="BD24" i="42"/>
  <c r="BI24" i="42"/>
  <c r="BA24" i="42"/>
  <c r="BC23" i="42"/>
  <c r="BB24" i="42"/>
  <c r="BG24" i="42"/>
  <c r="BE23" i="42"/>
  <c r="BO23" i="42"/>
  <c r="BO31" i="42"/>
  <c r="BB31" i="42"/>
  <c r="BA31" i="42"/>
  <c r="BE30" i="42"/>
  <c r="BP41" i="42"/>
  <c r="AS38" i="42"/>
  <c r="AT38" i="42"/>
  <c r="AR38" i="42"/>
  <c r="AQ38" i="42"/>
  <c r="AM37" i="42"/>
  <c r="AO37" i="42"/>
  <c r="W25" i="42"/>
  <c r="L25" i="42"/>
  <c r="AP25" i="42"/>
  <c r="AJ25" i="42"/>
  <c r="BC20" i="42"/>
  <c r="BE20" i="42"/>
  <c r="BO20" i="42"/>
  <c r="J25" i="42"/>
  <c r="AL25" i="42"/>
  <c r="BO25" i="42"/>
  <c r="BB25" i="42"/>
  <c r="BG25" i="42"/>
  <c r="BE34" i="42"/>
  <c r="BJ34" i="42"/>
  <c r="BB35" i="42"/>
  <c r="BG35" i="42"/>
  <c r="BD36" i="42"/>
  <c r="BC35" i="42"/>
  <c r="BH35" i="42"/>
  <c r="BB36" i="42"/>
  <c r="BG36" i="42"/>
  <c r="AM38" i="42"/>
  <c r="AO38" i="42"/>
  <c r="AM39" i="42"/>
  <c r="AO39" i="42"/>
  <c r="BE28" i="42"/>
  <c r="BJ28" i="42"/>
  <c r="BO29" i="42"/>
  <c r="BO28" i="42"/>
  <c r="AM41" i="42"/>
  <c r="AO41" i="42"/>
  <c r="L27" i="42"/>
  <c r="AP27" i="42"/>
  <c r="AJ27" i="42"/>
  <c r="J27" i="42"/>
  <c r="AL27" i="42"/>
  <c r="AS40" i="42"/>
  <c r="AZ40" i="42"/>
  <c r="BO18" i="42"/>
  <c r="BB18" i="42"/>
  <c r="BE17" i="42"/>
  <c r="BE26" i="42"/>
  <c r="BE32" i="42"/>
  <c r="BB33" i="42"/>
  <c r="BG33" i="42"/>
  <c r="AQ40" i="42"/>
  <c r="BB37" i="42"/>
  <c r="BG37" i="42"/>
  <c r="BD42" i="42"/>
  <c r="BC41" i="42"/>
  <c r="BH41" i="42"/>
  <c r="BA22" i="42"/>
  <c r="BC21" i="42"/>
  <c r="BH21" i="42"/>
  <c r="BD22" i="42"/>
  <c r="BD30" i="42"/>
  <c r="BA30" i="42"/>
  <c r="BC29" i="42"/>
  <c r="AM35" i="42"/>
  <c r="AO35" i="42"/>
  <c r="BD37" i="42"/>
  <c r="BE38" i="42"/>
  <c r="BJ38" i="42"/>
  <c r="BB39" i="42"/>
  <c r="BG39" i="42"/>
  <c r="AR42" i="42"/>
  <c r="BA28" i="42"/>
  <c r="BC27" i="42"/>
  <c r="BH27" i="42"/>
  <c r="BD28" i="42"/>
  <c r="BC39" i="42"/>
  <c r="BH39" i="42"/>
  <c r="AQ39" i="42"/>
  <c r="BI40" i="42"/>
  <c r="BK40" i="42"/>
  <c r="BF40" i="42"/>
  <c r="BI41" i="42"/>
  <c r="BK41" i="42"/>
  <c r="BF41" i="42"/>
  <c r="BF39" i="42"/>
  <c r="BI39" i="42"/>
  <c r="BK39" i="42"/>
  <c r="BF34" i="42"/>
  <c r="BI34" i="42"/>
  <c r="BK34" i="42"/>
  <c r="BF37" i="42"/>
  <c r="BI37" i="42"/>
  <c r="BK37" i="42"/>
  <c r="BI33" i="42"/>
  <c r="BK33" i="42"/>
  <c r="BF33" i="42"/>
  <c r="BF38" i="42"/>
  <c r="BI38" i="42"/>
  <c r="BK38" i="42"/>
  <c r="BF36" i="42"/>
  <c r="BI36" i="42"/>
  <c r="BK36" i="42"/>
  <c r="BF35" i="42"/>
  <c r="BI35" i="42"/>
  <c r="BK35" i="42"/>
  <c r="BI42" i="42"/>
  <c r="BK42" i="42"/>
  <c r="BF42" i="42"/>
  <c r="AS37" i="42"/>
  <c r="AZ37" i="42"/>
  <c r="AQ37" i="42"/>
  <c r="AR37" i="42"/>
  <c r="AT37" i="42"/>
  <c r="I20" i="42"/>
  <c r="J20" i="42"/>
  <c r="AL20" i="42"/>
  <c r="AM20" i="42"/>
  <c r="AO20" i="42"/>
  <c r="AQ36" i="42"/>
  <c r="AZ36" i="42"/>
  <c r="AR36" i="42"/>
  <c r="AT36" i="42"/>
  <c r="AS36" i="42"/>
  <c r="I30" i="42"/>
  <c r="BJ22" i="42"/>
  <c r="L19" i="42"/>
  <c r="L22" i="42"/>
  <c r="W19" i="42"/>
  <c r="J22" i="42"/>
  <c r="AL22" i="42"/>
  <c r="AM22" i="42"/>
  <c r="AO22" i="42"/>
  <c r="BG22" i="42"/>
  <c r="BH22" i="42"/>
  <c r="BJ19" i="42"/>
  <c r="BG19" i="42"/>
  <c r="BH19" i="42"/>
  <c r="BH29" i="42"/>
  <c r="L26" i="42"/>
  <c r="L23" i="42"/>
  <c r="W29" i="42"/>
  <c r="BG23" i="42"/>
  <c r="J23" i="42"/>
  <c r="AL23" i="42"/>
  <c r="BJ23" i="42"/>
  <c r="W26" i="42"/>
  <c r="BJ26" i="42"/>
  <c r="J29" i="42"/>
  <c r="AL29" i="42"/>
  <c r="BJ29" i="42"/>
  <c r="J26" i="42"/>
  <c r="AL26" i="42"/>
  <c r="AM26" i="42"/>
  <c r="AO26" i="42"/>
  <c r="L29" i="42"/>
  <c r="BH26" i="42"/>
  <c r="BG29" i="42"/>
  <c r="BG26" i="42"/>
  <c r="BG32" i="42"/>
  <c r="BH23" i="42"/>
  <c r="BP21" i="42"/>
  <c r="BP28" i="42"/>
  <c r="BP27" i="42"/>
  <c r="AM25" i="42"/>
  <c r="AO25" i="42"/>
  <c r="BF18" i="42"/>
  <c r="BF17" i="42"/>
  <c r="BK25" i="42"/>
  <c r="BF22" i="42"/>
  <c r="BF26" i="42"/>
  <c r="BF32" i="42"/>
  <c r="BK24" i="42"/>
  <c r="BF28" i="42"/>
  <c r="BI28" i="42"/>
  <c r="BK28" i="42"/>
  <c r="BF24" i="42"/>
  <c r="BF29" i="42"/>
  <c r="BI29" i="42"/>
  <c r="AQ27" i="42"/>
  <c r="AZ27" i="42"/>
  <c r="AT27" i="42"/>
  <c r="AS27" i="42"/>
  <c r="AR27" i="42"/>
  <c r="AR24" i="42"/>
  <c r="AZ24" i="42"/>
  <c r="AT24" i="42"/>
  <c r="AS24" i="42"/>
  <c r="AQ24" i="42"/>
  <c r="BF20" i="42"/>
  <c r="BF19" i="42"/>
  <c r="BI19" i="42"/>
  <c r="BF23" i="42"/>
  <c r="BI23" i="42"/>
  <c r="BF21" i="42"/>
  <c r="BI21" i="42"/>
  <c r="BK21" i="42"/>
  <c r="BI22" i="42"/>
  <c r="BP25" i="42"/>
  <c r="BF25" i="42"/>
  <c r="AS28" i="42"/>
  <c r="AR28" i="42"/>
  <c r="AQ28" i="42"/>
  <c r="AZ28" i="42"/>
  <c r="AT28" i="42"/>
  <c r="AQ21" i="42"/>
  <c r="AZ21" i="42"/>
  <c r="AT21" i="42"/>
  <c r="AS21" i="42"/>
  <c r="AR21" i="42"/>
  <c r="BO14" i="42" a="1"/>
  <c r="BO14" i="42"/>
  <c r="AZ25" i="42"/>
  <c r="AS25" i="42"/>
  <c r="AR25" i="42"/>
  <c r="AQ25" i="42"/>
  <c r="AT25" i="42"/>
  <c r="BI26" i="42"/>
  <c r="AM28" i="42"/>
  <c r="AO28" i="42"/>
  <c r="BP24" i="42"/>
  <c r="BF31" i="42"/>
  <c r="BF30" i="42"/>
  <c r="BF27" i="42"/>
  <c r="BI27" i="42"/>
  <c r="BK27" i="42"/>
  <c r="AM21" i="42"/>
  <c r="AO21" i="42"/>
  <c r="L20" i="42"/>
  <c r="W20" i="42"/>
  <c r="BG20" i="42"/>
  <c r="BJ20" i="42"/>
  <c r="BH20" i="42"/>
  <c r="BG30" i="42"/>
  <c r="I31" i="42"/>
  <c r="W31" i="42"/>
  <c r="BI20" i="42"/>
  <c r="BP19" i="42"/>
  <c r="AP19" i="42"/>
  <c r="AJ19" i="42"/>
  <c r="BP29" i="42"/>
  <c r="AP29" i="42"/>
  <c r="BP23" i="42"/>
  <c r="AP23" i="42"/>
  <c r="AJ23" i="42"/>
  <c r="BP20" i="42"/>
  <c r="AP20" i="42"/>
  <c r="BP26" i="42"/>
  <c r="AP26" i="42"/>
  <c r="BP22" i="42"/>
  <c r="AP22" i="42"/>
  <c r="AT22" i="42"/>
  <c r="W30" i="42"/>
  <c r="L30" i="42"/>
  <c r="J30" i="42"/>
  <c r="AL30" i="42"/>
  <c r="AM30" i="42"/>
  <c r="AO30" i="42"/>
  <c r="BH30" i="42"/>
  <c r="BJ30" i="42"/>
  <c r="BI30" i="42"/>
  <c r="BK22" i="42"/>
  <c r="AM23" i="42"/>
  <c r="AO23" i="42"/>
  <c r="AS19" i="42"/>
  <c r="BK19" i="42"/>
  <c r="BK23" i="42"/>
  <c r="AM24" i="42"/>
  <c r="AO24" i="42"/>
  <c r="BH32" i="42"/>
  <c r="BI32" i="42"/>
  <c r="AM29" i="42"/>
  <c r="AO29" i="42"/>
  <c r="AM27" i="42"/>
  <c r="AO27" i="42"/>
  <c r="BK26" i="42"/>
  <c r="BK29" i="42"/>
  <c r="BJ32" i="42"/>
  <c r="S18" i="42"/>
  <c r="BK20" i="42"/>
  <c r="AR19" i="42"/>
  <c r="L31" i="42"/>
  <c r="BH31" i="42"/>
  <c r="BG31" i="42"/>
  <c r="BJ31" i="42"/>
  <c r="J31" i="42"/>
  <c r="AL31" i="42"/>
  <c r="AM32" i="42"/>
  <c r="AO32" i="42"/>
  <c r="BI31" i="42"/>
  <c r="BK31" i="42"/>
  <c r="BK30" i="42"/>
  <c r="AR23" i="42"/>
  <c r="AS23" i="42"/>
  <c r="AT23" i="42"/>
  <c r="AQ23" i="42"/>
  <c r="AT20" i="42"/>
  <c r="AJ20" i="42"/>
  <c r="AZ23" i="42"/>
  <c r="AQ22" i="42"/>
  <c r="AS20" i="42"/>
  <c r="AQ20" i="42"/>
  <c r="AQ19" i="42"/>
  <c r="AT19" i="42"/>
  <c r="AS22" i="42"/>
  <c r="AR20" i="42"/>
  <c r="BP32" i="42"/>
  <c r="AP32" i="42"/>
  <c r="AJ32" i="42"/>
  <c r="BP30" i="42"/>
  <c r="AP30" i="42"/>
  <c r="AJ30" i="42"/>
  <c r="AJ22" i="42"/>
  <c r="AR22" i="42"/>
  <c r="AJ29" i="42"/>
  <c r="AQ29" i="42"/>
  <c r="AT29" i="42"/>
  <c r="AR29" i="42"/>
  <c r="AS29" i="42"/>
  <c r="AR26" i="42"/>
  <c r="AZ26" i="42"/>
  <c r="AQ26" i="42"/>
  <c r="AJ26" i="42"/>
  <c r="AT26" i="42"/>
  <c r="AS26" i="42"/>
  <c r="BK32" i="42"/>
  <c r="AM31" i="42"/>
  <c r="AO31" i="42"/>
  <c r="U17" i="42"/>
  <c r="AP31" i="42"/>
  <c r="BP31" i="42"/>
  <c r="AR30" i="42"/>
  <c r="AZ30" i="42"/>
  <c r="AS30" i="42"/>
  <c r="AT30" i="42"/>
  <c r="AR32" i="42"/>
  <c r="AS32" i="42"/>
  <c r="AQ32" i="42"/>
  <c r="AT32" i="42"/>
  <c r="AQ30" i="42"/>
  <c r="I17" i="42"/>
  <c r="L17" i="42"/>
  <c r="AJ31" i="42"/>
  <c r="AT31" i="42"/>
  <c r="AR31" i="42"/>
  <c r="AQ31" i="42"/>
  <c r="AS31" i="42"/>
  <c r="BJ17" i="42"/>
  <c r="BI17" i="42"/>
  <c r="BH17" i="42"/>
  <c r="BG17" i="42"/>
  <c r="AL18" i="42"/>
  <c r="L18" i="42"/>
  <c r="BH18" i="42"/>
  <c r="BI18" i="42"/>
  <c r="BG18" i="42"/>
  <c r="BJ18" i="42"/>
  <c r="J17" i="42"/>
  <c r="AL17" i="42"/>
  <c r="AS17" i="42"/>
  <c r="O18" i="42"/>
  <c r="AL15" i="42" a="1"/>
  <c r="AL15" i="42"/>
  <c r="BK17" i="42"/>
  <c r="AP17" i="42"/>
  <c r="AJ17" i="42"/>
  <c r="AJ15" i="42"/>
  <c r="H9" i="42"/>
  <c r="AZ41" i="42"/>
  <c r="BP18" i="42"/>
  <c r="AP18" i="42"/>
  <c r="AQ18" i="42"/>
  <c r="AM18" i="42"/>
  <c r="AO18" i="42" s="1"/>
  <c r="AO15" i="42" s="1"/>
  <c r="AM19" i="42"/>
  <c r="AO19" i="42"/>
  <c r="BK18" i="42"/>
  <c r="BP17" i="42"/>
  <c r="Q21" i="42"/>
  <c r="Q25" i="42"/>
  <c r="Q39" i="42"/>
  <c r="Q40" i="42"/>
  <c r="Q18" i="42"/>
  <c r="Q24" i="42"/>
  <c r="Q31" i="42"/>
  <c r="Q27" i="42"/>
  <c r="Q38" i="42"/>
  <c r="Q34" i="42"/>
  <c r="Q28" i="42"/>
  <c r="Q32" i="42"/>
  <c r="Q33" i="42"/>
  <c r="Q19" i="42"/>
  <c r="Q17" i="42"/>
  <c r="Q20" i="42"/>
  <c r="Q26" i="42"/>
  <c r="Q23" i="42"/>
  <c r="Q41" i="42"/>
  <c r="Q35" i="42"/>
  <c r="Q29" i="42"/>
  <c r="Q30" i="42"/>
  <c r="Q37" i="42"/>
  <c r="Q42" i="42"/>
  <c r="Q36" i="42"/>
  <c r="Q22" i="42"/>
  <c r="M40" i="42"/>
  <c r="M39" i="42"/>
  <c r="M41" i="42"/>
  <c r="AZ42" i="42"/>
  <c r="M42" i="42"/>
  <c r="AD42" i="42"/>
  <c r="M35" i="42"/>
  <c r="M37" i="42"/>
  <c r="M32" i="42"/>
  <c r="AD32" i="42"/>
  <c r="M36" i="42"/>
  <c r="M33" i="42"/>
  <c r="M34" i="42"/>
  <c r="M38" i="42"/>
  <c r="AZ38" i="42"/>
  <c r="AT18" i="42"/>
  <c r="AY18" i="42" s="1"/>
  <c r="AZ20" i="42"/>
  <c r="AZ31" i="42"/>
  <c r="BP15" i="42"/>
  <c r="BP14" i="42"/>
  <c r="AS18" i="42"/>
  <c r="I9" i="42"/>
  <c r="J9" i="42"/>
  <c r="AZ19" i="42"/>
  <c r="AR18" i="42"/>
  <c r="AW18" i="42"/>
  <c r="AZ18" i="42"/>
  <c r="H13" i="42"/>
  <c r="L9" i="42"/>
  <c r="AA12" i="42"/>
  <c r="I13" i="42"/>
  <c r="AZ22" i="42"/>
  <c r="AZ29" i="42"/>
  <c r="M19" i="42"/>
  <c r="AD19" i="42"/>
  <c r="M18" i="42"/>
  <c r="AD18" i="42"/>
  <c r="M21" i="42"/>
  <c r="AD21" i="42"/>
  <c r="M22" i="42"/>
  <c r="AD22" i="42"/>
  <c r="M25" i="42"/>
  <c r="AD25" i="42"/>
  <c r="M24" i="42"/>
  <c r="AD24" i="42"/>
  <c r="M28" i="42"/>
  <c r="AD28" i="42"/>
  <c r="M27" i="42"/>
  <c r="AD27" i="42"/>
  <c r="BN17" i="42"/>
  <c r="AZ32" i="42"/>
  <c r="M30" i="42"/>
  <c r="AD30" i="42"/>
  <c r="M31" i="42"/>
  <c r="AD31" i="42"/>
  <c r="BM17" i="42"/>
  <c r="AX37" i="42"/>
  <c r="AX42" i="42"/>
  <c r="BM36" i="42"/>
  <c r="BM41" i="42"/>
  <c r="BN30" i="42"/>
  <c r="BN31" i="42"/>
  <c r="AX21" i="42"/>
  <c r="BM37" i="42"/>
  <c r="AY31" i="42"/>
  <c r="AV38" i="42"/>
  <c r="AV23" i="42"/>
  <c r="AV30" i="42"/>
  <c r="AX30" i="42"/>
  <c r="BN25" i="42"/>
  <c r="AX25" i="42"/>
  <c r="BN37" i="42"/>
  <c r="BM23" i="42"/>
  <c r="AY19" i="42"/>
  <c r="AY26" i="42"/>
  <c r="BN26" i="42"/>
  <c r="AX31" i="42"/>
  <c r="AW38" i="42"/>
  <c r="BM30" i="42"/>
  <c r="AV41" i="42"/>
  <c r="AV31" i="42"/>
  <c r="AW25" i="42"/>
  <c r="AV32" i="42"/>
  <c r="BM33" i="42"/>
  <c r="AY27" i="42"/>
  <c r="AX41" i="42"/>
  <c r="AV33" i="42"/>
  <c r="AY40" i="42"/>
  <c r="AX22" i="42"/>
  <c r="AX36" i="42"/>
  <c r="AX33" i="42"/>
  <c r="AY22" i="42"/>
  <c r="AY21" i="42"/>
  <c r="AW29" i="42"/>
  <c r="BM31" i="42"/>
  <c r="AY37" i="42"/>
  <c r="AW32" i="42"/>
  <c r="AW24" i="42"/>
  <c r="AW26" i="42"/>
  <c r="BM42" i="42"/>
  <c r="AV22" i="42"/>
  <c r="AY41" i="42"/>
  <c r="AV29" i="42"/>
  <c r="BN35" i="42"/>
  <c r="BM20" i="42"/>
  <c r="AW42" i="42"/>
  <c r="BM26" i="42"/>
  <c r="AX23" i="42"/>
  <c r="AW22" i="42"/>
  <c r="AY42" i="42"/>
  <c r="AX35" i="42"/>
  <c r="AY33" i="42"/>
  <c r="BN41" i="42"/>
  <c r="AW28" i="42"/>
  <c r="AW31" i="42"/>
  <c r="BM39" i="42"/>
  <c r="AW33" i="42"/>
  <c r="M23" i="42"/>
  <c r="AD23" i="42"/>
  <c r="AV36" i="42"/>
  <c r="AV27" i="42"/>
  <c r="AV34" i="42"/>
  <c r="AV42" i="42"/>
  <c r="AV20" i="42"/>
  <c r="AW23" i="42"/>
  <c r="AY32" i="42"/>
  <c r="BN20" i="42"/>
  <c r="BN32" i="42"/>
  <c r="AV24" i="42"/>
  <c r="AX27" i="42"/>
  <c r="BN28" i="42"/>
  <c r="AW35" i="42"/>
  <c r="AX34" i="42"/>
  <c r="BM27" i="42"/>
  <c r="BM21" i="42"/>
  <c r="BM32" i="42"/>
  <c r="BM25" i="42"/>
  <c r="BM34" i="42"/>
  <c r="BM29" i="42"/>
  <c r="AY36" i="42"/>
  <c r="BN36" i="42"/>
  <c r="AV40" i="42"/>
  <c r="M26" i="42"/>
  <c r="AD26" i="42"/>
  <c r="AW41" i="42"/>
  <c r="BM35" i="42"/>
  <c r="BN33" i="42"/>
  <c r="BN39" i="42"/>
  <c r="AY24" i="42"/>
  <c r="BN40" i="42"/>
  <c r="AY35" i="42"/>
  <c r="BN21" i="42"/>
  <c r="AW37" i="42"/>
  <c r="AX39" i="42"/>
  <c r="BN24" i="42"/>
  <c r="AX26" i="42"/>
  <c r="AV39" i="42"/>
  <c r="AY29" i="42"/>
  <c r="BN19" i="42"/>
  <c r="BN34" i="42"/>
  <c r="BM19" i="42"/>
  <c r="AW30" i="42"/>
  <c r="AW19" i="42"/>
  <c r="AW40" i="42"/>
  <c r="AY30" i="42"/>
  <c r="AY38" i="42"/>
  <c r="AW34" i="42"/>
  <c r="AV21" i="42"/>
  <c r="AV28" i="42"/>
  <c r="AW36" i="42"/>
  <c r="AY20" i="42"/>
  <c r="AX40" i="42"/>
  <c r="AW39" i="42"/>
  <c r="BM38" i="42"/>
  <c r="BN23" i="42"/>
  <c r="AY34" i="42"/>
  <c r="M20" i="42"/>
  <c r="AD20" i="42"/>
  <c r="BM22" i="42"/>
  <c r="AV26" i="42"/>
  <c r="AY39" i="42"/>
  <c r="AY28" i="42"/>
  <c r="AX20" i="42"/>
  <c r="AW20" i="42"/>
  <c r="AW27" i="42"/>
  <c r="AX38" i="42"/>
  <c r="AX32" i="42"/>
  <c r="BN38" i="42"/>
  <c r="AY25" i="42"/>
  <c r="BN22" i="42"/>
  <c r="AX19" i="42"/>
  <c r="BM24" i="42"/>
  <c r="AV25" i="42"/>
  <c r="AV19" i="42"/>
  <c r="AV35" i="42"/>
  <c r="BN42" i="42"/>
  <c r="BM40" i="42"/>
  <c r="BM28" i="42"/>
  <c r="AX29" i="42"/>
  <c r="AY23" i="42"/>
  <c r="M29" i="42"/>
  <c r="AD29" i="42"/>
  <c r="AV37" i="42"/>
  <c r="BN29" i="42"/>
  <c r="AX28" i="42"/>
  <c r="BN27" i="42"/>
  <c r="AW21" i="42"/>
  <c r="AX24" i="42"/>
  <c r="AV18" i="42"/>
  <c r="BN18" i="42"/>
  <c r="BM18" i="42"/>
  <c r="AX18" i="42"/>
  <c r="M17" i="42"/>
  <c r="AD17" i="42"/>
  <c r="AW17" i="42"/>
  <c r="AZ17" i="42"/>
  <c r="AY17" i="42"/>
  <c r="AX17" i="42"/>
  <c r="AV17" i="42"/>
  <c r="AE42" i="42"/>
  <c r="AH42" i="42"/>
  <c r="AG42" i="42"/>
  <c r="AI42" i="42"/>
  <c r="AF42" i="42"/>
  <c r="AH41" i="42"/>
  <c r="AI41" i="42"/>
  <c r="AG41" i="42"/>
  <c r="AF41" i="42"/>
  <c r="AE41" i="42"/>
  <c r="AD41" i="42"/>
  <c r="AE39" i="42"/>
  <c r="AF39" i="42"/>
  <c r="AI39" i="42"/>
  <c r="AD39" i="42"/>
  <c r="AH39" i="42"/>
  <c r="AG39" i="42"/>
  <c r="AG40" i="42"/>
  <c r="AI40" i="42"/>
  <c r="AF40" i="42"/>
  <c r="AE40" i="42"/>
  <c r="AH40" i="42"/>
  <c r="AD40" i="42"/>
  <c r="AD38" i="42"/>
  <c r="AH38" i="42"/>
  <c r="AE38" i="42"/>
  <c r="AI38" i="42"/>
  <c r="AG38" i="42"/>
  <c r="AF38" i="42"/>
  <c r="AG34" i="42"/>
  <c r="AI34" i="42"/>
  <c r="AF34" i="42"/>
  <c r="AH34" i="42"/>
  <c r="AE34" i="42"/>
  <c r="AD34" i="42"/>
  <c r="AE33" i="42"/>
  <c r="AG33" i="42"/>
  <c r="AF33" i="42"/>
  <c r="AI33" i="42"/>
  <c r="AD33" i="42"/>
  <c r="AH33" i="42"/>
  <c r="AG36" i="42"/>
  <c r="AF36" i="42"/>
  <c r="AI36" i="42"/>
  <c r="AE36" i="42"/>
  <c r="AD36" i="42"/>
  <c r="AH36" i="42"/>
  <c r="AF37" i="42"/>
  <c r="AD37" i="42"/>
  <c r="AH37" i="42"/>
  <c r="AI37" i="42"/>
  <c r="AE37" i="42"/>
  <c r="AG37" i="42"/>
  <c r="AF35" i="42"/>
  <c r="AD35" i="42"/>
  <c r="AE35" i="42"/>
  <c r="AH35" i="42"/>
  <c r="AI35" i="42"/>
  <c r="AG35" i="42"/>
  <c r="AZ15" i="42"/>
  <c r="BC8" i="42"/>
  <c r="BN15" i="42"/>
  <c r="AF10" i="42"/>
  <c r="AW15" i="42"/>
  <c r="AS6" i="42"/>
  <c r="AX15" i="42"/>
  <c r="BM15" i="42"/>
  <c r="AF9" i="42"/>
  <c r="AG18" i="42"/>
  <c r="AH18" i="42"/>
  <c r="AI18" i="42"/>
  <c r="AE18" i="42"/>
  <c r="AF18" i="42"/>
  <c r="AG19" i="42"/>
  <c r="AE19" i="42"/>
  <c r="AF19" i="42"/>
  <c r="AI19" i="42"/>
  <c r="AH19" i="42"/>
  <c r="AH22" i="42"/>
  <c r="AE22" i="42"/>
  <c r="AG22" i="42"/>
  <c r="AI22" i="42"/>
  <c r="AF22" i="42"/>
  <c r="AG21" i="42"/>
  <c r="AE21" i="42"/>
  <c r="AI21" i="42"/>
  <c r="AH21" i="42"/>
  <c r="AF21" i="42"/>
  <c r="AF24" i="42"/>
  <c r="AH24" i="42"/>
  <c r="AG24" i="42"/>
  <c r="AI24" i="42"/>
  <c r="AE24" i="42"/>
  <c r="AG25" i="42"/>
  <c r="AH25" i="42"/>
  <c r="AE25" i="42"/>
  <c r="AI25" i="42"/>
  <c r="AF25" i="42"/>
  <c r="AH27" i="42"/>
  <c r="AG27" i="42"/>
  <c r="AE27" i="42"/>
  <c r="AI27" i="42"/>
  <c r="AF27" i="42"/>
  <c r="AH28" i="42"/>
  <c r="AE28" i="42"/>
  <c r="AF28" i="42"/>
  <c r="AI28" i="42"/>
  <c r="AG28" i="42"/>
  <c r="AF31" i="42"/>
  <c r="AE31" i="42"/>
  <c r="AG31" i="42"/>
  <c r="AH31" i="42"/>
  <c r="AI31" i="42"/>
  <c r="AI30" i="42"/>
  <c r="AE30" i="42"/>
  <c r="AG30" i="42"/>
  <c r="AF30" i="42"/>
  <c r="AH30" i="42"/>
  <c r="BQ34" i="42"/>
  <c r="AU34" i="42"/>
  <c r="BQ27" i="42"/>
  <c r="AU27" i="42"/>
  <c r="AU28" i="42"/>
  <c r="BQ28" i="42"/>
  <c r="AU39" i="42"/>
  <c r="BQ39" i="42"/>
  <c r="BQ36" i="42"/>
  <c r="AU36" i="42"/>
  <c r="AU32" i="42"/>
  <c r="BQ32" i="42"/>
  <c r="AV15" i="42"/>
  <c r="BQ17" i="42"/>
  <c r="AU17" i="42"/>
  <c r="BQ25" i="42"/>
  <c r="AU25" i="42"/>
  <c r="BQ21" i="42"/>
  <c r="AU21" i="42"/>
  <c r="AH26" i="42"/>
  <c r="AF26" i="42"/>
  <c r="AI26" i="42"/>
  <c r="AG26" i="42"/>
  <c r="AE26" i="42"/>
  <c r="AI23" i="42"/>
  <c r="AG23" i="42"/>
  <c r="AF23" i="42"/>
  <c r="AE23" i="42"/>
  <c r="AH23" i="42"/>
  <c r="AU20" i="42"/>
  <c r="BQ20" i="42"/>
  <c r="AU42" i="42"/>
  <c r="BQ42" i="42"/>
  <c r="AH17" i="42"/>
  <c r="AF17" i="42"/>
  <c r="AI17" i="42"/>
  <c r="AG17" i="42"/>
  <c r="AE17" i="42"/>
  <c r="BQ26" i="42"/>
  <c r="AU26" i="42"/>
  <c r="BQ40" i="42"/>
  <c r="AU40" i="42"/>
  <c r="BQ31" i="42"/>
  <c r="AU31" i="42"/>
  <c r="AU33" i="42"/>
  <c r="BQ33" i="42"/>
  <c r="AU37" i="42"/>
  <c r="BQ37" i="42"/>
  <c r="AU24" i="42"/>
  <c r="BQ24" i="42"/>
  <c r="AU41" i="42"/>
  <c r="BQ41" i="42"/>
  <c r="AU30" i="42"/>
  <c r="BQ30" i="42"/>
  <c r="AH32" i="42"/>
  <c r="AF32" i="42"/>
  <c r="AI32" i="42"/>
  <c r="AE32" i="42"/>
  <c r="AG32" i="42"/>
  <c r="AG29" i="42"/>
  <c r="AH29" i="42"/>
  <c r="AE29" i="42"/>
  <c r="AF29" i="42"/>
  <c r="AI29" i="42"/>
  <c r="AF20" i="42"/>
  <c r="AH20" i="42"/>
  <c r="AG20" i="42"/>
  <c r="AE20" i="42"/>
  <c r="AI20" i="42"/>
  <c r="BQ29" i="42"/>
  <c r="AU29" i="42"/>
  <c r="BQ19" i="42"/>
  <c r="AU19" i="42"/>
  <c r="AU23" i="42"/>
  <c r="BQ23" i="42"/>
  <c r="AU22" i="42"/>
  <c r="BQ22" i="42"/>
  <c r="BQ38" i="42"/>
  <c r="AU38" i="42"/>
  <c r="BQ35" i="42"/>
  <c r="AU35" i="42"/>
  <c r="AF8" i="42"/>
  <c r="AS8" i="42"/>
  <c r="BC6" i="42"/>
  <c r="AF6" i="42"/>
  <c r="AA15" i="42"/>
  <c r="AS5" i="42"/>
  <c r="AF5" i="42"/>
  <c r="BC5" i="42"/>
  <c r="M23" i="56" l="1"/>
  <c r="M27" i="56"/>
  <c r="M19" i="56"/>
  <c r="AD19" i="56" s="1"/>
  <c r="M21" i="56"/>
  <c r="AH21" i="56" s="1"/>
  <c r="BK31" i="56"/>
  <c r="U22" i="56"/>
  <c r="BM29" i="56"/>
  <c r="M29" i="57"/>
  <c r="AD29" i="57" s="1"/>
  <c r="M23" i="57"/>
  <c r="AG23" i="57" s="1"/>
  <c r="AX36" i="57"/>
  <c r="M24" i="57"/>
  <c r="AI24" i="57" s="1"/>
  <c r="BM41" i="57"/>
  <c r="M21" i="57"/>
  <c r="AF21" i="57" s="1"/>
  <c r="AW18" i="57"/>
  <c r="BU19" i="57"/>
  <c r="BU20" i="57" s="1"/>
  <c r="BU21" i="57" s="1"/>
  <c r="BU22" i="57" s="1"/>
  <c r="BU23" i="57" s="1"/>
  <c r="BU24" i="57" s="1"/>
  <c r="BV25" i="57"/>
  <c r="AV36" i="57"/>
  <c r="AW41" i="57"/>
  <c r="M20" i="56"/>
  <c r="AF20" i="56" s="1"/>
  <c r="AP30" i="56"/>
  <c r="BN30" i="56" s="1"/>
  <c r="BP30" i="56"/>
  <c r="BP15" i="56" s="1"/>
  <c r="BP14" i="56" s="1"/>
  <c r="AY24" i="56"/>
  <c r="M18" i="56"/>
  <c r="AH18" i="56" s="1"/>
  <c r="M26" i="56"/>
  <c r="AG26" i="56" s="1"/>
  <c r="U21" i="56"/>
  <c r="AW29" i="56"/>
  <c r="M17" i="56"/>
  <c r="AE17" i="56" s="1"/>
  <c r="M28" i="56"/>
  <c r="AE28" i="56" s="1"/>
  <c r="U23" i="56"/>
  <c r="AV24" i="56"/>
  <c r="BM36" i="56"/>
  <c r="AO15" i="56"/>
  <c r="AW24" i="56"/>
  <c r="AV36" i="56"/>
  <c r="AW36" i="56"/>
  <c r="AX36" i="56"/>
  <c r="AY22" i="56"/>
  <c r="BN29" i="56"/>
  <c r="AY36" i="56"/>
  <c r="AV22" i="56"/>
  <c r="AX29" i="56"/>
  <c r="BM22" i="56"/>
  <c r="U24" i="56"/>
  <c r="T25" i="56"/>
  <c r="AY29" i="56"/>
  <c r="BN24" i="56"/>
  <c r="BN22" i="56"/>
  <c r="AX24" i="56"/>
  <c r="BM24" i="56"/>
  <c r="BU24" i="56"/>
  <c r="BV25" i="56"/>
  <c r="BU25" i="56" s="1"/>
  <c r="BU26" i="56" s="1"/>
  <c r="AV29" i="56"/>
  <c r="AS22" i="57"/>
  <c r="AX22" i="57" s="1"/>
  <c r="BN22" i="57"/>
  <c r="BM22" i="57"/>
  <c r="AZ22" i="57"/>
  <c r="AQ22" i="57"/>
  <c r="AV22" i="57" s="1"/>
  <c r="AT22" i="57"/>
  <c r="AY22" i="57" s="1"/>
  <c r="AR22" i="57"/>
  <c r="AW22" i="57" s="1"/>
  <c r="AI21" i="57"/>
  <c r="AH21" i="57"/>
  <c r="AE21" i="57"/>
  <c r="AD21" i="57"/>
  <c r="BM21" i="57"/>
  <c r="AZ21" i="57"/>
  <c r="BN21" i="57"/>
  <c r="AT21" i="57"/>
  <c r="AY21" i="57" s="1"/>
  <c r="AS21" i="57"/>
  <c r="AX21" i="57" s="1"/>
  <c r="AR21" i="57"/>
  <c r="AW21" i="57" s="1"/>
  <c r="AQ21" i="57"/>
  <c r="AV21" i="57" s="1"/>
  <c r="AT23" i="57"/>
  <c r="AY23" i="57" s="1"/>
  <c r="AS23" i="57"/>
  <c r="AX23" i="57" s="1"/>
  <c r="BM23" i="57"/>
  <c r="AQ23" i="57"/>
  <c r="AV23" i="57" s="1"/>
  <c r="BN23" i="57"/>
  <c r="AR23" i="57"/>
  <c r="AW23" i="57" s="1"/>
  <c r="AZ23" i="57"/>
  <c r="AY41" i="57"/>
  <c r="BS30" i="57"/>
  <c r="BV27" i="57"/>
  <c r="BS34" i="57"/>
  <c r="AV39" i="57"/>
  <c r="AV18" i="57"/>
  <c r="BM29" i="57"/>
  <c r="AZ29" i="57"/>
  <c r="AT29" i="57"/>
  <c r="AY29" i="57" s="1"/>
  <c r="AR29" i="57"/>
  <c r="AW29" i="57" s="1"/>
  <c r="AS29" i="57"/>
  <c r="AX29" i="57" s="1"/>
  <c r="AQ29" i="57"/>
  <c r="AV29" i="57" s="1"/>
  <c r="BN29" i="57"/>
  <c r="BM36" i="57"/>
  <c r="AW17" i="57"/>
  <c r="AZ17" i="57"/>
  <c r="BN17" i="57"/>
  <c r="BM17" i="57"/>
  <c r="AY17" i="57"/>
  <c r="AV17" i="57"/>
  <c r="AJ17" i="57"/>
  <c r="AX17" i="57"/>
  <c r="BN27" i="57"/>
  <c r="AR27" i="57"/>
  <c r="AW27" i="57" s="1"/>
  <c r="AQ27" i="57"/>
  <c r="AV27" i="57" s="1"/>
  <c r="AZ27" i="57"/>
  <c r="AT27" i="57"/>
  <c r="AY27" i="57" s="1"/>
  <c r="AS27" i="57"/>
  <c r="AX27" i="57" s="1"/>
  <c r="BM27" i="57"/>
  <c r="BM39" i="57"/>
  <c r="BN41" i="57"/>
  <c r="BN36" i="57"/>
  <c r="AG29" i="57"/>
  <c r="AF29" i="57"/>
  <c r="AE29" i="57"/>
  <c r="AI29" i="57"/>
  <c r="AW39" i="57"/>
  <c r="M26" i="57"/>
  <c r="AS20" i="57"/>
  <c r="AX20" i="57" s="1"/>
  <c r="AR20" i="57"/>
  <c r="AW20" i="57" s="1"/>
  <c r="BM20" i="57"/>
  <c r="AQ20" i="57"/>
  <c r="AV20" i="57" s="1"/>
  <c r="AZ20" i="57"/>
  <c r="BN20" i="57"/>
  <c r="AT20" i="57"/>
  <c r="AY20" i="57"/>
  <c r="M17" i="57"/>
  <c r="AO18" i="57"/>
  <c r="AO15" i="57" s="1"/>
  <c r="AM15" i="57" a="1"/>
  <c r="AM15" i="57" s="1"/>
  <c r="AA13" i="57" s="1"/>
  <c r="AA14" i="57" s="1"/>
  <c r="AX39" i="57"/>
  <c r="BN18" i="57"/>
  <c r="AX41" i="57"/>
  <c r="AJ31" i="57"/>
  <c r="BN31" i="57"/>
  <c r="BM31" i="57"/>
  <c r="AZ31" i="57"/>
  <c r="AQ31" i="57"/>
  <c r="AV31" i="57" s="1"/>
  <c r="AS31" i="57"/>
  <c r="AX31" i="57" s="1"/>
  <c r="AT31" i="57"/>
  <c r="AY31" i="57" s="1"/>
  <c r="AR31" i="57"/>
  <c r="AW31" i="57" s="1"/>
  <c r="AQ26" i="57"/>
  <c r="AV26" i="57" s="1"/>
  <c r="AT26" i="57"/>
  <c r="AY26" i="57" s="1"/>
  <c r="AZ26" i="57"/>
  <c r="AS26" i="57"/>
  <c r="AX26" i="57" s="1"/>
  <c r="AR26" i="57"/>
  <c r="AW26" i="57" s="1"/>
  <c r="BN26" i="57"/>
  <c r="BM26" i="57"/>
  <c r="M20" i="57"/>
  <c r="BN19" i="57"/>
  <c r="AZ19" i="57"/>
  <c r="AQ19" i="57"/>
  <c r="AV19" i="57" s="1"/>
  <c r="AT19" i="57"/>
  <c r="AY19" i="57" s="1"/>
  <c r="AR19" i="57"/>
  <c r="AW19" i="57" s="1"/>
  <c r="BM19" i="57"/>
  <c r="AS19" i="57"/>
  <c r="AX19" i="57" s="1"/>
  <c r="AT28" i="57"/>
  <c r="AY28" i="57" s="1"/>
  <c r="BN28" i="57"/>
  <c r="AS28" i="57"/>
  <c r="AR28" i="57"/>
  <c r="AW28" i="57" s="1"/>
  <c r="AZ28" i="57"/>
  <c r="AX28" i="57"/>
  <c r="BM28" i="57"/>
  <c r="AQ28" i="57"/>
  <c r="AV28" i="57" s="1"/>
  <c r="AX18" i="57"/>
  <c r="AY18" i="57"/>
  <c r="M19" i="57"/>
  <c r="M28" i="57"/>
  <c r="AY39" i="57"/>
  <c r="BM18" i="57"/>
  <c r="AG27" i="57"/>
  <c r="AH27" i="57"/>
  <c r="AI27" i="57"/>
  <c r="AF27" i="57"/>
  <c r="AE27" i="57"/>
  <c r="AD27" i="57"/>
  <c r="I9" i="57"/>
  <c r="J9" i="57" s="1"/>
  <c r="AV32" i="57"/>
  <c r="BN32" i="57"/>
  <c r="AY32" i="57"/>
  <c r="BP15" i="57"/>
  <c r="BP14" i="57" s="1"/>
  <c r="H13" i="57"/>
  <c r="E2" i="57" s="1"/>
  <c r="BM32" i="57"/>
  <c r="AX32" i="57"/>
  <c r="AX42" i="57"/>
  <c r="BM42" i="57"/>
  <c r="BN42" i="57"/>
  <c r="AW42" i="57"/>
  <c r="BM40" i="57"/>
  <c r="AY25" i="57"/>
  <c r="AX25" i="57"/>
  <c r="AY40" i="57"/>
  <c r="AW25" i="57"/>
  <c r="BN40" i="57"/>
  <c r="BN38" i="57"/>
  <c r="L9" i="57"/>
  <c r="AA12" i="57" s="1"/>
  <c r="BM25" i="57"/>
  <c r="AY42" i="57"/>
  <c r="AY37" i="57"/>
  <c r="AW30" i="57"/>
  <c r="AV33" i="57"/>
  <c r="BN34" i="57"/>
  <c r="AV30" i="57"/>
  <c r="AV38" i="57"/>
  <c r="BN33" i="57"/>
  <c r="BM34" i="57"/>
  <c r="AX37" i="57"/>
  <c r="M18" i="57"/>
  <c r="AX34" i="57"/>
  <c r="AV42" i="57"/>
  <c r="AX33" i="57"/>
  <c r="BM35" i="57"/>
  <c r="BN30" i="57"/>
  <c r="BM38" i="57"/>
  <c r="AW35" i="57"/>
  <c r="BM30" i="57"/>
  <c r="AV34" i="57"/>
  <c r="AY30" i="57"/>
  <c r="AW33" i="57"/>
  <c r="AV35" i="57"/>
  <c r="AX40" i="57"/>
  <c r="AX30" i="57"/>
  <c r="AW40" i="57"/>
  <c r="AY34" i="57"/>
  <c r="BM33" i="57"/>
  <c r="AY35" i="57"/>
  <c r="AX35" i="57"/>
  <c r="AV40" i="57"/>
  <c r="AW34" i="57"/>
  <c r="AV37" i="57"/>
  <c r="AY38" i="57"/>
  <c r="BM37" i="57"/>
  <c r="AW32" i="57"/>
  <c r="AX38" i="57"/>
  <c r="M30" i="57"/>
  <c r="AV25" i="57"/>
  <c r="AW37" i="57"/>
  <c r="AW38" i="57"/>
  <c r="BN35" i="57"/>
  <c r="AY33" i="57"/>
  <c r="BN25" i="57"/>
  <c r="BN37" i="57"/>
  <c r="M25" i="57"/>
  <c r="M31" i="57"/>
  <c r="BS35" i="57"/>
  <c r="BV32" i="57"/>
  <c r="M22" i="57"/>
  <c r="BN39" i="57"/>
  <c r="AV41" i="57"/>
  <c r="AW36" i="57"/>
  <c r="AS24" i="57"/>
  <c r="AX24" i="57" s="1"/>
  <c r="AZ24" i="57"/>
  <c r="AR24" i="57"/>
  <c r="AW24" i="57" s="1"/>
  <c r="BN24" i="57"/>
  <c r="AQ24" i="57"/>
  <c r="AV24" i="57" s="1"/>
  <c r="BM24" i="57"/>
  <c r="AT24" i="57"/>
  <c r="AY24" i="57" s="1"/>
  <c r="AI21" i="56"/>
  <c r="AG21" i="56"/>
  <c r="AF21" i="56"/>
  <c r="AQ21" i="56"/>
  <c r="AV21" i="56" s="1"/>
  <c r="BM21" i="56"/>
  <c r="AR21" i="56"/>
  <c r="AW21" i="56" s="1"/>
  <c r="AT21" i="56"/>
  <c r="AY21" i="56" s="1"/>
  <c r="AS21" i="56"/>
  <c r="BN21" i="56"/>
  <c r="AX21" i="56"/>
  <c r="AZ21" i="56"/>
  <c r="BN19" i="56"/>
  <c r="BM19" i="56"/>
  <c r="AZ19" i="56"/>
  <c r="AS19" i="56"/>
  <c r="AX19" i="56" s="1"/>
  <c r="AR19" i="56"/>
  <c r="AW19" i="56" s="1"/>
  <c r="AQ19" i="56"/>
  <c r="AV19" i="56" s="1"/>
  <c r="AT19" i="56"/>
  <c r="AY19" i="56"/>
  <c r="AA13" i="56"/>
  <c r="AA14" i="56" s="1"/>
  <c r="AD20" i="56"/>
  <c r="AI20" i="56"/>
  <c r="BN31" i="56"/>
  <c r="BM31" i="56"/>
  <c r="AZ31" i="56"/>
  <c r="AJ31" i="56"/>
  <c r="AS31" i="56"/>
  <c r="AX31" i="56" s="1"/>
  <c r="AQ31" i="56"/>
  <c r="AV31" i="56" s="1"/>
  <c r="AT31" i="56"/>
  <c r="AY31" i="56" s="1"/>
  <c r="AR31" i="56"/>
  <c r="AW31" i="56" s="1"/>
  <c r="BM17" i="56"/>
  <c r="AZ17" i="56"/>
  <c r="AJ17" i="56"/>
  <c r="AY17" i="56"/>
  <c r="AX17" i="56"/>
  <c r="AW17" i="56"/>
  <c r="AV17" i="56"/>
  <c r="BN17" i="56"/>
  <c r="AR27" i="56"/>
  <c r="BM27" i="56"/>
  <c r="AZ27" i="56"/>
  <c r="AW27" i="56"/>
  <c r="AQ27" i="56"/>
  <c r="AV27" i="56" s="1"/>
  <c r="AT27" i="56"/>
  <c r="AY27" i="56" s="1"/>
  <c r="AS27" i="56"/>
  <c r="AX27" i="56" s="1"/>
  <c r="BN27" i="56"/>
  <c r="BM41" i="56"/>
  <c r="AW41" i="56"/>
  <c r="BM33" i="56"/>
  <c r="AV33" i="56"/>
  <c r="L9" i="56"/>
  <c r="AA12" i="56" s="1"/>
  <c r="AV41" i="56"/>
  <c r="AX39" i="56"/>
  <c r="AV32" i="56"/>
  <c r="AY37" i="56"/>
  <c r="BM37" i="56"/>
  <c r="AX37" i="56"/>
  <c r="AW33" i="56"/>
  <c r="AW37" i="56"/>
  <c r="BN33" i="56"/>
  <c r="AY42" i="56"/>
  <c r="BM42" i="56"/>
  <c r="AW42" i="56"/>
  <c r="AY39" i="56"/>
  <c r="I9" i="56"/>
  <c r="J9" i="56" s="1"/>
  <c r="H13" i="56"/>
  <c r="E2" i="56" s="1"/>
  <c r="AX42" i="56"/>
  <c r="AY32" i="56"/>
  <c r="AX32" i="56"/>
  <c r="AX40" i="56"/>
  <c r="AV34" i="56"/>
  <c r="AY35" i="56"/>
  <c r="BM35" i="56"/>
  <c r="AY40" i="56"/>
  <c r="AY38" i="56"/>
  <c r="AV40" i="56"/>
  <c r="BM32" i="56"/>
  <c r="AX41" i="56"/>
  <c r="BN38" i="56"/>
  <c r="AY41" i="56"/>
  <c r="AW38" i="56"/>
  <c r="AV39" i="56"/>
  <c r="AW39" i="56"/>
  <c r="M22" i="56"/>
  <c r="BN40" i="56"/>
  <c r="BN35" i="56"/>
  <c r="M24" i="56"/>
  <c r="AX38" i="56"/>
  <c r="BN32" i="56"/>
  <c r="AW40" i="56"/>
  <c r="AV37" i="56"/>
  <c r="AY33" i="56"/>
  <c r="M29" i="56"/>
  <c r="AW32" i="56"/>
  <c r="AX33" i="56"/>
  <c r="BM39" i="56"/>
  <c r="AV38" i="56"/>
  <c r="BM38" i="56"/>
  <c r="AX35" i="56"/>
  <c r="BM40" i="56"/>
  <c r="BN34" i="56"/>
  <c r="AW35" i="56"/>
  <c r="AY34" i="56"/>
  <c r="AV42" i="56"/>
  <c r="AW34" i="56"/>
  <c r="BN41" i="56"/>
  <c r="AV35" i="56"/>
  <c r="BN42" i="56"/>
  <c r="AX34" i="56"/>
  <c r="BN39" i="56"/>
  <c r="BN37" i="56"/>
  <c r="BM34" i="56"/>
  <c r="M30" i="56"/>
  <c r="AT25" i="56"/>
  <c r="AY25" i="56" s="1"/>
  <c r="AS25" i="56"/>
  <c r="AX25" i="56" s="1"/>
  <c r="AR25" i="56"/>
  <c r="AW25" i="56" s="1"/>
  <c r="AQ25" i="56"/>
  <c r="AV25" i="56" s="1"/>
  <c r="BN25" i="56"/>
  <c r="BM25" i="56"/>
  <c r="AZ25" i="56"/>
  <c r="M31" i="56"/>
  <c r="AI19" i="56"/>
  <c r="AE19" i="56"/>
  <c r="AF19" i="56"/>
  <c r="AT18" i="56"/>
  <c r="AY18" i="56" s="1"/>
  <c r="AS18" i="56"/>
  <c r="AX18" i="56" s="1"/>
  <c r="AR18" i="56"/>
  <c r="AQ18" i="56"/>
  <c r="AV18" i="56" s="1"/>
  <c r="AW18" i="56"/>
  <c r="BM18" i="56"/>
  <c r="AZ18" i="56"/>
  <c r="BN18" i="56"/>
  <c r="AE27" i="56"/>
  <c r="AI27" i="56"/>
  <c r="AH27" i="56"/>
  <c r="AG27" i="56"/>
  <c r="AF27" i="56"/>
  <c r="AD27" i="56"/>
  <c r="AW22" i="56"/>
  <c r="M25" i="56"/>
  <c r="AG28" i="56"/>
  <c r="BS35" i="56"/>
  <c r="BV32" i="56"/>
  <c r="AS28" i="56"/>
  <c r="AX28" i="56" s="1"/>
  <c r="BN28" i="56"/>
  <c r="AQ28" i="56"/>
  <c r="AV28" i="56" s="1"/>
  <c r="AZ28" i="56"/>
  <c r="BM28" i="56"/>
  <c r="AR28" i="56"/>
  <c r="AW28" i="56" s="1"/>
  <c r="AT28" i="56"/>
  <c r="AY28" i="56" s="1"/>
  <c r="AS20" i="56"/>
  <c r="AX20" i="56" s="1"/>
  <c r="AR20" i="56"/>
  <c r="AW20" i="56" s="1"/>
  <c r="BM20" i="56"/>
  <c r="AZ20" i="56"/>
  <c r="BN20" i="56"/>
  <c r="AT20" i="56"/>
  <c r="AY20" i="56" s="1"/>
  <c r="AQ20" i="56"/>
  <c r="AV20" i="56" s="1"/>
  <c r="BV27" i="56"/>
  <c r="BS30" i="56"/>
  <c r="BS37" i="56"/>
  <c r="AT23" i="56"/>
  <c r="AY23" i="56" s="1"/>
  <c r="AS23" i="56"/>
  <c r="AX23" i="56" s="1"/>
  <c r="AZ23" i="56"/>
  <c r="AR23" i="56"/>
  <c r="AW23" i="56" s="1"/>
  <c r="BM23" i="56"/>
  <c r="BN23" i="56"/>
  <c r="AQ23" i="56"/>
  <c r="AV23" i="56" s="1"/>
  <c r="AM15" i="56" a="1"/>
  <c r="AM15" i="56" s="1"/>
  <c r="AX22" i="56"/>
  <c r="BN26" i="56"/>
  <c r="AZ26" i="56"/>
  <c r="BM26" i="56"/>
  <c r="AT26" i="56"/>
  <c r="AY26" i="56" s="1"/>
  <c r="AS26" i="56"/>
  <c r="AX26" i="56" s="1"/>
  <c r="AQ26" i="56"/>
  <c r="AV26" i="56" s="1"/>
  <c r="AR26" i="56"/>
  <c r="AW26" i="56" s="1"/>
  <c r="AG23" i="56"/>
  <c r="AF23" i="56"/>
  <c r="AI23" i="56"/>
  <c r="AD23" i="56"/>
  <c r="AE23" i="56"/>
  <c r="AH23" i="56"/>
  <c r="AI34" i="52"/>
  <c r="AH35" i="52"/>
  <c r="AF33" i="52"/>
  <c r="AH33" i="52"/>
  <c r="AG33" i="52"/>
  <c r="AG40" i="52"/>
  <c r="AD41" i="52"/>
  <c r="AH41" i="52"/>
  <c r="AG42" i="52"/>
  <c r="AG41" i="52"/>
  <c r="AI42" i="52"/>
  <c r="AE36" i="52"/>
  <c r="AD33" i="52"/>
  <c r="AE35" i="52"/>
  <c r="AI40" i="52"/>
  <c r="AE33" i="52"/>
  <c r="AI41" i="52"/>
  <c r="AE32" i="52"/>
  <c r="AI35" i="52"/>
  <c r="AG32" i="52"/>
  <c r="AI32" i="52"/>
  <c r="AD37" i="52"/>
  <c r="AD40" i="52"/>
  <c r="AH38" i="52"/>
  <c r="AF35" i="52"/>
  <c r="AH37" i="52"/>
  <c r="AF41" i="52"/>
  <c r="AH36" i="52"/>
  <c r="AE38" i="52"/>
  <c r="AD32" i="52"/>
  <c r="AI37" i="52"/>
  <c r="AG38" i="52"/>
  <c r="AE42" i="52"/>
  <c r="AD36" i="52"/>
  <c r="AG36" i="52"/>
  <c r="AF32" i="52"/>
  <c r="AD42" i="52"/>
  <c r="AI38" i="52"/>
  <c r="AF42" i="52"/>
  <c r="W30" i="52"/>
  <c r="L30" i="52"/>
  <c r="I31" i="52"/>
  <c r="S18" i="52"/>
  <c r="U42" i="52" s="1"/>
  <c r="BH30" i="52"/>
  <c r="BJ30" i="52"/>
  <c r="BG30" i="52"/>
  <c r="J30" i="52"/>
  <c r="AL30" i="52" s="1"/>
  <c r="AM30" i="52" s="1"/>
  <c r="AO30" i="52" s="1"/>
  <c r="BH28" i="52"/>
  <c r="L28" i="52"/>
  <c r="J28" i="52"/>
  <c r="AL28" i="52" s="1"/>
  <c r="AM28" i="52" s="1"/>
  <c r="AO28" i="52" s="1"/>
  <c r="W28" i="52"/>
  <c r="BI28" i="52"/>
  <c r="BJ28" i="52"/>
  <c r="BF27" i="52"/>
  <c r="J24" i="52"/>
  <c r="AL24" i="52" s="1"/>
  <c r="L24" i="52"/>
  <c r="BH24" i="52"/>
  <c r="BI24" i="52"/>
  <c r="W24" i="52"/>
  <c r="BG24" i="52"/>
  <c r="BK24" i="52" s="1"/>
  <c r="W26" i="52"/>
  <c r="L26" i="52"/>
  <c r="BH26" i="52"/>
  <c r="BK26" i="52" s="1"/>
  <c r="J26" i="52"/>
  <c r="AL26" i="52" s="1"/>
  <c r="AM26" i="52" s="1"/>
  <c r="AO26" i="52" s="1"/>
  <c r="BG26" i="52"/>
  <c r="BJ26" i="52"/>
  <c r="AF34" i="52"/>
  <c r="AH34" i="52"/>
  <c r="AD34" i="52"/>
  <c r="AE34" i="52"/>
  <c r="BC39" i="52"/>
  <c r="AO40" i="52"/>
  <c r="BB40" i="52"/>
  <c r="BU28" i="52"/>
  <c r="BT31" i="52"/>
  <c r="BT34" i="52" s="1"/>
  <c r="BT37" i="52" s="1"/>
  <c r="BT40" i="52" s="1"/>
  <c r="BT43" i="52" s="1"/>
  <c r="BT46" i="52" s="1"/>
  <c r="BT49" i="52" s="1"/>
  <c r="BT52" i="52" s="1"/>
  <c r="BT55" i="52" s="1"/>
  <c r="BT58" i="52" s="1"/>
  <c r="BT61" i="52" s="1"/>
  <c r="BT64" i="52" s="1"/>
  <c r="BT67" i="52" s="1"/>
  <c r="BT70" i="52" s="1"/>
  <c r="BT73" i="52" s="1"/>
  <c r="BT76" i="52" s="1"/>
  <c r="BT79" i="52" s="1"/>
  <c r="BT82" i="52" s="1"/>
  <c r="BT85" i="52" s="1"/>
  <c r="BT88" i="52" s="1"/>
  <c r="BT91" i="52" s="1"/>
  <c r="AS42" i="52"/>
  <c r="AQ42" i="52"/>
  <c r="AJ42" i="52"/>
  <c r="AZ42" i="52"/>
  <c r="AR42" i="52"/>
  <c r="AF39" i="52"/>
  <c r="AG39" i="52"/>
  <c r="AI39" i="52"/>
  <c r="AD39" i="52"/>
  <c r="AH39" i="52"/>
  <c r="AJ34" i="52"/>
  <c r="AS34" i="52"/>
  <c r="AQ34" i="52"/>
  <c r="AZ34" i="52"/>
  <c r="AT34" i="52"/>
  <c r="AR34" i="52"/>
  <c r="J19" i="52"/>
  <c r="AL19" i="52" s="1"/>
  <c r="AM19" i="52" s="1"/>
  <c r="AO19" i="52" s="1"/>
  <c r="W19" i="52"/>
  <c r="BJ19" i="52"/>
  <c r="L19" i="52"/>
  <c r="L23" i="52"/>
  <c r="BJ23" i="52"/>
  <c r="J23" i="52"/>
  <c r="AL23" i="52" s="1"/>
  <c r="AM23" i="52" s="1"/>
  <c r="AO23" i="52" s="1"/>
  <c r="BH23" i="52"/>
  <c r="BG23" i="52"/>
  <c r="W23" i="52"/>
  <c r="BS37" i="52"/>
  <c r="BV34" i="52"/>
  <c r="BF22" i="52"/>
  <c r="AM22" i="52"/>
  <c r="AO22" i="52" s="1"/>
  <c r="BF26" i="52"/>
  <c r="AT39" i="52"/>
  <c r="P18" i="52"/>
  <c r="P19" i="52" s="1"/>
  <c r="AM32" i="52"/>
  <c r="AO32" i="52" s="1"/>
  <c r="Y18" i="52"/>
  <c r="BO26" i="52"/>
  <c r="BC26" i="52"/>
  <c r="BA27" i="52"/>
  <c r="BO27" i="52"/>
  <c r="BP27" i="52" s="1"/>
  <c r="AZ36" i="52"/>
  <c r="AQ36" i="52"/>
  <c r="AR36" i="52"/>
  <c r="AT36" i="52"/>
  <c r="L17" i="52"/>
  <c r="BI17" i="52"/>
  <c r="BG17" i="52"/>
  <c r="BP29" i="52"/>
  <c r="L22" i="52"/>
  <c r="W22" i="52"/>
  <c r="BV30" i="52"/>
  <c r="BS33" i="52"/>
  <c r="Q42" i="52"/>
  <c r="BF23" i="52"/>
  <c r="Q18" i="52"/>
  <c r="Q17" i="52"/>
  <c r="AP37" i="52"/>
  <c r="BP37" i="52"/>
  <c r="AS32" i="52"/>
  <c r="AR32" i="52"/>
  <c r="AT32" i="52"/>
  <c r="BP39" i="52"/>
  <c r="AM37" i="52"/>
  <c r="AO37" i="52" s="1"/>
  <c r="AM38" i="52"/>
  <c r="AO38" i="52" s="1"/>
  <c r="AT27" i="52"/>
  <c r="AZ27" i="52"/>
  <c r="L29" i="52"/>
  <c r="BA17" i="52"/>
  <c r="BA18" i="52"/>
  <c r="BO17" i="52"/>
  <c r="BO18" i="52"/>
  <c r="BB18" i="52"/>
  <c r="BF18" i="52" s="1"/>
  <c r="BE17" i="52"/>
  <c r="BJ17" i="52" s="1"/>
  <c r="BC17" i="52"/>
  <c r="BH17" i="52" s="1"/>
  <c r="BH27" i="52"/>
  <c r="BK27" i="52" s="1"/>
  <c r="AO35" i="52"/>
  <c r="BE34" i="52"/>
  <c r="BC34" i="52"/>
  <c r="BC36" i="52"/>
  <c r="BE36" i="52"/>
  <c r="BB38" i="52"/>
  <c r="BD38" i="52"/>
  <c r="BI18" i="52"/>
  <c r="AS17" i="52"/>
  <c r="BJ18" i="52"/>
  <c r="BG18" i="52"/>
  <c r="BK18" i="52" s="1"/>
  <c r="W18" i="52"/>
  <c r="BH18" i="52"/>
  <c r="L18" i="52"/>
  <c r="Y17" i="52"/>
  <c r="L20" i="52"/>
  <c r="J20" i="52"/>
  <c r="AL20" i="52" s="1"/>
  <c r="AM20" i="52" s="1"/>
  <c r="AO20" i="52" s="1"/>
  <c r="BG20" i="52"/>
  <c r="BI20" i="52"/>
  <c r="BE20" i="52"/>
  <c r="BC20" i="52"/>
  <c r="BH20" i="52" s="1"/>
  <c r="BO20" i="52"/>
  <c r="BO21" i="52"/>
  <c r="BA20" i="52"/>
  <c r="BD21" i="52"/>
  <c r="BT27" i="52"/>
  <c r="BU24" i="52"/>
  <c r="AQ39" i="52"/>
  <c r="AJ39" i="52"/>
  <c r="AZ39" i="52"/>
  <c r="AR39" i="52"/>
  <c r="BF24" i="52"/>
  <c r="BD35" i="52"/>
  <c r="L25" i="52"/>
  <c r="BP25" i="52" s="1"/>
  <c r="BH25" i="52"/>
  <c r="BJ25" i="52"/>
  <c r="J25" i="52"/>
  <c r="AL25" i="52" s="1"/>
  <c r="AM25" i="52" s="1"/>
  <c r="AO25" i="52" s="1"/>
  <c r="BD25" i="52"/>
  <c r="BF25" i="52" s="1"/>
  <c r="BA25" i="52"/>
  <c r="BE24" i="52"/>
  <c r="BJ24" i="52" s="1"/>
  <c r="BO24" i="52"/>
  <c r="BD29" i="52"/>
  <c r="BB31" i="52"/>
  <c r="BA30" i="52"/>
  <c r="AG37" i="52"/>
  <c r="AE37" i="52"/>
  <c r="BE42" i="52"/>
  <c r="BC22" i="52"/>
  <c r="BH22" i="52" s="1"/>
  <c r="BB28" i="52"/>
  <c r="BG28" i="52" s="1"/>
  <c r="BD32" i="52"/>
  <c r="BD28" i="52"/>
  <c r="BB33" i="52"/>
  <c r="BE41" i="52"/>
  <c r="L21" i="52"/>
  <c r="BJ21" i="52"/>
  <c r="BF31" i="52"/>
  <c r="BF17" i="52"/>
  <c r="BU31" i="52"/>
  <c r="BV21" i="52"/>
  <c r="BU21" i="52" s="1"/>
  <c r="BB22" i="52"/>
  <c r="BG22" i="52" s="1"/>
  <c r="BK22" i="52" s="1"/>
  <c r="BO22" i="52"/>
  <c r="BC25" i="52"/>
  <c r="BD42" i="52"/>
  <c r="AQ38" i="52"/>
  <c r="BU22" i="52"/>
  <c r="BH21" i="52"/>
  <c r="BC27" i="52"/>
  <c r="BD30" i="52"/>
  <c r="BF30" i="52" s="1"/>
  <c r="BD19" i="52"/>
  <c r="BF19" i="52" s="1"/>
  <c r="BC29" i="52"/>
  <c r="BH29" i="52" s="1"/>
  <c r="BV18" i="52"/>
  <c r="BU18" i="52" s="1"/>
  <c r="BS26" i="52"/>
  <c r="AM18" i="52"/>
  <c r="AY15" i="42"/>
  <c r="BQ18" i="42"/>
  <c r="BQ15" i="42" s="1"/>
  <c r="AU18" i="42"/>
  <c r="AU15" i="42" s="1"/>
  <c r="J13" i="42" s="1"/>
  <c r="T18" i="42"/>
  <c r="U18" i="42" s="1"/>
  <c r="AM15" i="42" a="1"/>
  <c r="AM15" i="42" s="1"/>
  <c r="AA13" i="42" s="1"/>
  <c r="AA14" i="42" s="1"/>
  <c r="U42" i="42"/>
  <c r="AO18" i="52"/>
  <c r="U17" i="52"/>
  <c r="T18" i="52"/>
  <c r="U18" i="52" s="1"/>
  <c r="AE24" i="57" l="1"/>
  <c r="AD24" i="57"/>
  <c r="AH23" i="57"/>
  <c r="AF24" i="57"/>
  <c r="AF23" i="57"/>
  <c r="AE23" i="57"/>
  <c r="AH29" i="57"/>
  <c r="AE18" i="56"/>
  <c r="AG19" i="56"/>
  <c r="AE21" i="56"/>
  <c r="AG18" i="56"/>
  <c r="AH26" i="56"/>
  <c r="AI26" i="56"/>
  <c r="AG20" i="56"/>
  <c r="AF26" i="56"/>
  <c r="AE20" i="56"/>
  <c r="AU22" i="56"/>
  <c r="AU24" i="56"/>
  <c r="AH20" i="56"/>
  <c r="BQ36" i="56"/>
  <c r="AI18" i="56"/>
  <c r="AD21" i="56"/>
  <c r="AD26" i="56"/>
  <c r="BM30" i="56"/>
  <c r="AH19" i="56"/>
  <c r="AD18" i="56"/>
  <c r="AG24" i="57"/>
  <c r="AI23" i="57"/>
  <c r="AD23" i="57"/>
  <c r="AD28" i="56"/>
  <c r="AU29" i="56"/>
  <c r="AF18" i="56"/>
  <c r="AH24" i="57"/>
  <c r="AG21" i="57"/>
  <c r="BQ36" i="57"/>
  <c r="BV28" i="57"/>
  <c r="BU25" i="57"/>
  <c r="BU26" i="57" s="1"/>
  <c r="BU27" i="57" s="1"/>
  <c r="AJ15" i="57"/>
  <c r="I13" i="57" s="1"/>
  <c r="BQ24" i="56"/>
  <c r="AG17" i="56"/>
  <c r="AU36" i="56"/>
  <c r="AH28" i="56"/>
  <c r="BQ22" i="56"/>
  <c r="AI28" i="56"/>
  <c r="AD17" i="56"/>
  <c r="AF28" i="56"/>
  <c r="AF17" i="56"/>
  <c r="AH17" i="56"/>
  <c r="AI17" i="56"/>
  <c r="AE26" i="56"/>
  <c r="BQ29" i="56"/>
  <c r="AJ30" i="56"/>
  <c r="AJ15" i="56" s="1"/>
  <c r="I13" i="56" s="1"/>
  <c r="AR30" i="56"/>
  <c r="AW30" i="56" s="1"/>
  <c r="AW15" i="56" s="1"/>
  <c r="AT30" i="56"/>
  <c r="AY30" i="56" s="1"/>
  <c r="AS30" i="56"/>
  <c r="AX30" i="56" s="1"/>
  <c r="AX15" i="56" s="1"/>
  <c r="AZ30" i="56"/>
  <c r="AZ15" i="56" s="1"/>
  <c r="AQ30" i="56"/>
  <c r="AV30" i="56"/>
  <c r="AV15" i="56" s="1"/>
  <c r="U25" i="56"/>
  <c r="T26" i="56"/>
  <c r="BU27" i="56"/>
  <c r="BV28" i="56"/>
  <c r="BQ31" i="57"/>
  <c r="AU31" i="57"/>
  <c r="BQ20" i="57"/>
  <c r="AU20" i="57"/>
  <c r="AU29" i="57"/>
  <c r="BQ29" i="57"/>
  <c r="AU28" i="57"/>
  <c r="BQ28" i="57"/>
  <c r="BC9" i="57"/>
  <c r="BQ23" i="57"/>
  <c r="AU23" i="57"/>
  <c r="BQ22" i="57"/>
  <c r="AU22" i="57"/>
  <c r="BQ27" i="57"/>
  <c r="AU27" i="57"/>
  <c r="BS38" i="57"/>
  <c r="BV35" i="57"/>
  <c r="BQ32" i="57"/>
  <c r="AU32" i="57"/>
  <c r="AF20" i="57"/>
  <c r="AI20" i="57"/>
  <c r="AD20" i="57"/>
  <c r="AG20" i="57"/>
  <c r="AE20" i="57"/>
  <c r="AH20" i="57"/>
  <c r="AU18" i="57"/>
  <c r="BQ18" i="57"/>
  <c r="AI31" i="57"/>
  <c r="AH31" i="57"/>
  <c r="AE31" i="57"/>
  <c r="AF31" i="57"/>
  <c r="AD31" i="57"/>
  <c r="AG31" i="57"/>
  <c r="AU35" i="57"/>
  <c r="BQ35" i="57"/>
  <c r="AH18" i="57"/>
  <c r="AE18" i="57"/>
  <c r="AG18" i="57"/>
  <c r="AD18" i="57"/>
  <c r="AI18" i="57"/>
  <c r="AF18" i="57"/>
  <c r="BQ39" i="57"/>
  <c r="AU39" i="57"/>
  <c r="BS37" i="57"/>
  <c r="AE25" i="57"/>
  <c r="AD25" i="57"/>
  <c r="AG25" i="57"/>
  <c r="AH25" i="57"/>
  <c r="AI25" i="57"/>
  <c r="AF25" i="57"/>
  <c r="BQ24" i="57"/>
  <c r="AU24" i="57"/>
  <c r="AU37" i="57"/>
  <c r="BQ37" i="57"/>
  <c r="AX15" i="57"/>
  <c r="AD17" i="57"/>
  <c r="AE17" i="57"/>
  <c r="AH17" i="57"/>
  <c r="AG17" i="57"/>
  <c r="AI17" i="57"/>
  <c r="AF17" i="57"/>
  <c r="BQ38" i="57"/>
  <c r="AU38" i="57"/>
  <c r="AY15" i="57"/>
  <c r="BQ41" i="57"/>
  <c r="AU41" i="57"/>
  <c r="AU33" i="57"/>
  <c r="BQ33" i="57"/>
  <c r="F1" i="57"/>
  <c r="BM15" i="57"/>
  <c r="AU21" i="57"/>
  <c r="BQ21" i="57"/>
  <c r="BQ25" i="57"/>
  <c r="AU25" i="57"/>
  <c r="BN15" i="57"/>
  <c r="AU40" i="57"/>
  <c r="BQ40" i="57"/>
  <c r="BQ30" i="57"/>
  <c r="AU30" i="57"/>
  <c r="AF22" i="57"/>
  <c r="AH22" i="57"/>
  <c r="AE22" i="57"/>
  <c r="AD22" i="57"/>
  <c r="AI22" i="57"/>
  <c r="AG22" i="57"/>
  <c r="AF30" i="57"/>
  <c r="AE30" i="57"/>
  <c r="AH30" i="57"/>
  <c r="AG30" i="57"/>
  <c r="AI30" i="57"/>
  <c r="AD30" i="57"/>
  <c r="AH28" i="57"/>
  <c r="AG28" i="57"/>
  <c r="AD28" i="57"/>
  <c r="AF28" i="57"/>
  <c r="AE28" i="57"/>
  <c r="AI28" i="57"/>
  <c r="AU26" i="57"/>
  <c r="BQ26" i="57"/>
  <c r="AZ15" i="57"/>
  <c r="AU36" i="57"/>
  <c r="AU34" i="57"/>
  <c r="BQ34" i="57"/>
  <c r="BQ19" i="57"/>
  <c r="AU19" i="57"/>
  <c r="AI26" i="57"/>
  <c r="AG26" i="57"/>
  <c r="AH26" i="57"/>
  <c r="AF26" i="57"/>
  <c r="AE26" i="57"/>
  <c r="AD26" i="57"/>
  <c r="BS33" i="57"/>
  <c r="BV30" i="57"/>
  <c r="AU17" i="57"/>
  <c r="AV15" i="57"/>
  <c r="BQ17" i="57"/>
  <c r="AU42" i="57"/>
  <c r="BQ42" i="57"/>
  <c r="AH19" i="57"/>
  <c r="AI19" i="57"/>
  <c r="AF19" i="57"/>
  <c r="AE19" i="57"/>
  <c r="AD19" i="57"/>
  <c r="AG19" i="57"/>
  <c r="AW15" i="57"/>
  <c r="BQ25" i="56"/>
  <c r="AU25" i="56"/>
  <c r="AU21" i="56"/>
  <c r="BQ21" i="56"/>
  <c r="BQ23" i="56"/>
  <c r="AU23" i="56"/>
  <c r="AU28" i="56"/>
  <c r="BQ28" i="56"/>
  <c r="AU26" i="56"/>
  <c r="BQ26" i="56"/>
  <c r="BQ19" i="56"/>
  <c r="AU19" i="56"/>
  <c r="F1" i="56"/>
  <c r="BM15" i="56"/>
  <c r="BQ31" i="56"/>
  <c r="AU31" i="56"/>
  <c r="AG25" i="56"/>
  <c r="AI25" i="56"/>
  <c r="AF25" i="56"/>
  <c r="AH25" i="56"/>
  <c r="AE25" i="56"/>
  <c r="AD25" i="56"/>
  <c r="AD29" i="56"/>
  <c r="AF29" i="56"/>
  <c r="AE29" i="56"/>
  <c r="AH29" i="56"/>
  <c r="AG29" i="56"/>
  <c r="AI29" i="56"/>
  <c r="AI30" i="56"/>
  <c r="AH30" i="56"/>
  <c r="AD30" i="56"/>
  <c r="AG30" i="56"/>
  <c r="AF30" i="56"/>
  <c r="AE30" i="56"/>
  <c r="BN15" i="56"/>
  <c r="AD24" i="56"/>
  <c r="AF24" i="56"/>
  <c r="AE24" i="56"/>
  <c r="AG24" i="56"/>
  <c r="AI24" i="56"/>
  <c r="AH24" i="56"/>
  <c r="BQ32" i="56"/>
  <c r="AU32" i="56"/>
  <c r="BQ39" i="56"/>
  <c r="AU39" i="56"/>
  <c r="BQ20" i="56"/>
  <c r="AU20" i="56"/>
  <c r="AU18" i="56"/>
  <c r="BQ18" i="56"/>
  <c r="AU33" i="56"/>
  <c r="BQ33" i="56"/>
  <c r="AU37" i="56"/>
  <c r="BQ37" i="56"/>
  <c r="AI31" i="56"/>
  <c r="AH31" i="56"/>
  <c r="AD31" i="56"/>
  <c r="AG31" i="56"/>
  <c r="AF31" i="56"/>
  <c r="AE31" i="56"/>
  <c r="BQ17" i="56"/>
  <c r="AU17" i="56"/>
  <c r="BV35" i="56"/>
  <c r="BS38" i="56"/>
  <c r="BC9" i="56"/>
  <c r="AU38" i="56"/>
  <c r="BQ38" i="56"/>
  <c r="BQ41" i="56"/>
  <c r="AU41" i="56"/>
  <c r="AY15" i="56"/>
  <c r="AI22" i="56"/>
  <c r="AE22" i="56"/>
  <c r="AD22" i="56"/>
  <c r="AH22" i="56"/>
  <c r="AG22" i="56"/>
  <c r="AF22" i="56"/>
  <c r="BQ27" i="56"/>
  <c r="AU27" i="56"/>
  <c r="AU42" i="56"/>
  <c r="BQ42" i="56"/>
  <c r="BS40" i="56"/>
  <c r="BQ40" i="56"/>
  <c r="AU40" i="56"/>
  <c r="BV30" i="56"/>
  <c r="BS33" i="56"/>
  <c r="BQ35" i="56"/>
  <c r="AU35" i="56"/>
  <c r="BQ34" i="56"/>
  <c r="AU34" i="56"/>
  <c r="Q19" i="52"/>
  <c r="P20" i="52"/>
  <c r="BK28" i="52"/>
  <c r="AP18" i="52"/>
  <c r="AP29" i="52"/>
  <c r="BF20" i="52"/>
  <c r="BJ20" i="52"/>
  <c r="BK20" i="52" s="1"/>
  <c r="AP24" i="52"/>
  <c r="BI30" i="52"/>
  <c r="BK30" i="52" s="1"/>
  <c r="AP23" i="52"/>
  <c r="BP23" i="52"/>
  <c r="AM24" i="52"/>
  <c r="AO24" i="52" s="1"/>
  <c r="AP26" i="52"/>
  <c r="AL15" i="52" a="1"/>
  <c r="AL15" i="52" s="1"/>
  <c r="BU27" i="52"/>
  <c r="BT30" i="52"/>
  <c r="BT33" i="52" s="1"/>
  <c r="BT36" i="52" s="1"/>
  <c r="BT39" i="52" s="1"/>
  <c r="BT42" i="52" s="1"/>
  <c r="BT45" i="52" s="1"/>
  <c r="BT48" i="52" s="1"/>
  <c r="BT51" i="52" s="1"/>
  <c r="BT54" i="52" s="1"/>
  <c r="BT57" i="52" s="1"/>
  <c r="BT60" i="52" s="1"/>
  <c r="BT63" i="52" s="1"/>
  <c r="BT66" i="52" s="1"/>
  <c r="BT69" i="52" s="1"/>
  <c r="BT72" i="52" s="1"/>
  <c r="BT75" i="52" s="1"/>
  <c r="BT78" i="52" s="1"/>
  <c r="BT81" i="52" s="1"/>
  <c r="BT84" i="52" s="1"/>
  <c r="BT87" i="52" s="1"/>
  <c r="BT90" i="52" s="1"/>
  <c r="BT93" i="52" s="1"/>
  <c r="BP18" i="52"/>
  <c r="BP26" i="52"/>
  <c r="BU34" i="52"/>
  <c r="L31" i="52"/>
  <c r="BG31" i="52"/>
  <c r="BJ31" i="52"/>
  <c r="BI31" i="52"/>
  <c r="BH31" i="52"/>
  <c r="BK31" i="52" s="1"/>
  <c r="J31" i="52"/>
  <c r="AP25" i="52"/>
  <c r="AP20" i="52"/>
  <c r="AP21" i="52"/>
  <c r="BF29" i="52"/>
  <c r="BI29" i="52"/>
  <c r="BK29" i="52" s="1"/>
  <c r="BF21" i="52"/>
  <c r="BI21" i="52"/>
  <c r="BK21" i="52" s="1"/>
  <c r="BO14" i="52" a="1"/>
  <c r="BO14" i="52" s="1"/>
  <c r="BP17" i="52"/>
  <c r="BK17" i="52"/>
  <c r="BS40" i="52"/>
  <c r="BV37" i="52"/>
  <c r="BU37" i="52" s="1"/>
  <c r="BI19" i="52"/>
  <c r="BK19" i="52" s="1"/>
  <c r="AP30" i="52"/>
  <c r="BP30" i="52"/>
  <c r="AP19" i="52"/>
  <c r="BI25" i="52"/>
  <c r="BK25" i="52" s="1"/>
  <c r="BP24" i="52"/>
  <c r="AP17" i="52"/>
  <c r="M23" i="52"/>
  <c r="BP21" i="52"/>
  <c r="BS36" i="52"/>
  <c r="BV33" i="52"/>
  <c r="BK23" i="52"/>
  <c r="AM27" i="52"/>
  <c r="AO27" i="52" s="1"/>
  <c r="AP28" i="52"/>
  <c r="BP28" i="52"/>
  <c r="AM29" i="52"/>
  <c r="AO29" i="52" s="1"/>
  <c r="AP22" i="52"/>
  <c r="AR37" i="52"/>
  <c r="AJ37" i="52"/>
  <c r="AQ37" i="52"/>
  <c r="AS37" i="52"/>
  <c r="AT37" i="52"/>
  <c r="AZ37" i="52"/>
  <c r="BP19" i="52"/>
  <c r="AM15" i="52" a="1"/>
  <c r="AM15" i="52" s="1"/>
  <c r="BV26" i="52"/>
  <c r="BU26" i="52" s="1"/>
  <c r="BS29" i="52"/>
  <c r="BP22" i="52"/>
  <c r="BF28" i="52"/>
  <c r="BP20" i="52"/>
  <c r="AM31" i="52"/>
  <c r="AO31" i="52" s="1"/>
  <c r="AM21" i="52"/>
  <c r="AO21" i="52" s="1"/>
  <c r="AO15" i="52" s="1"/>
  <c r="L13" i="42"/>
  <c r="BC9" i="42"/>
  <c r="BB9" i="42"/>
  <c r="T19" i="42"/>
  <c r="AR4" i="42"/>
  <c r="AR5" i="42"/>
  <c r="AR6" i="42"/>
  <c r="AR9" i="42"/>
  <c r="AR8" i="42"/>
  <c r="AR7" i="42"/>
  <c r="BC7" i="42"/>
  <c r="BB7" i="42"/>
  <c r="AS7" i="42"/>
  <c r="AF7" i="42"/>
  <c r="AE7" i="42"/>
  <c r="K13" i="42"/>
  <c r="BR15" i="42"/>
  <c r="T19" i="52"/>
  <c r="AU15" i="57" l="1"/>
  <c r="L13" i="57" s="1"/>
  <c r="BB6" i="57" s="1"/>
  <c r="BV31" i="57"/>
  <c r="BU28" i="57"/>
  <c r="BU29" i="57" s="1"/>
  <c r="BU30" i="57" s="1"/>
  <c r="AU30" i="56"/>
  <c r="BQ30" i="56"/>
  <c r="BQ15" i="56" s="1"/>
  <c r="BV31" i="56"/>
  <c r="BU28" i="56"/>
  <c r="BU29" i="56" s="1"/>
  <c r="BU30" i="56" s="1"/>
  <c r="T27" i="56"/>
  <c r="U26" i="56"/>
  <c r="AS6" i="57"/>
  <c r="AF6" i="57"/>
  <c r="BC6" i="57"/>
  <c r="BS40" i="57"/>
  <c r="BV33" i="57"/>
  <c r="BS36" i="57"/>
  <c r="AF10" i="57"/>
  <c r="AF7" i="57"/>
  <c r="AS7" i="57"/>
  <c r="BC7" i="57"/>
  <c r="AF9" i="57"/>
  <c r="AA15" i="57"/>
  <c r="BV38" i="57"/>
  <c r="BS41" i="57"/>
  <c r="BQ15" i="57"/>
  <c r="AS8" i="57"/>
  <c r="BC8" i="57"/>
  <c r="AF8" i="57"/>
  <c r="AF5" i="57"/>
  <c r="AS5" i="57"/>
  <c r="BC5" i="57"/>
  <c r="BB5" i="57"/>
  <c r="BV33" i="56"/>
  <c r="BS36" i="56"/>
  <c r="BC6" i="56"/>
  <c r="AS6" i="56"/>
  <c r="AF6" i="56"/>
  <c r="BS41" i="56"/>
  <c r="BV38" i="56"/>
  <c r="AS8" i="56"/>
  <c r="AF8" i="56"/>
  <c r="BC8" i="56"/>
  <c r="BS43" i="56"/>
  <c r="AU15" i="56"/>
  <c r="AS5" i="56"/>
  <c r="AF5" i="56"/>
  <c r="BC5" i="56"/>
  <c r="AF9" i="56"/>
  <c r="AA15" i="56"/>
  <c r="AS7" i="56"/>
  <c r="BC7" i="56"/>
  <c r="AF7" i="56"/>
  <c r="AF10" i="56"/>
  <c r="AD23" i="52"/>
  <c r="AI23" i="52"/>
  <c r="AH23" i="52"/>
  <c r="AE23" i="52"/>
  <c r="AG23" i="52"/>
  <c r="AF23" i="52"/>
  <c r="AX37" i="52"/>
  <c r="M20" i="52"/>
  <c r="AS24" i="52"/>
  <c r="AX24" i="52" s="1"/>
  <c r="AT24" i="52"/>
  <c r="AY24" i="52"/>
  <c r="AR24" i="52"/>
  <c r="AW24" i="52" s="1"/>
  <c r="AQ24" i="52"/>
  <c r="BM24" i="52"/>
  <c r="AV24" i="52"/>
  <c r="BN24" i="52"/>
  <c r="AZ24" i="52"/>
  <c r="AQ20" i="52"/>
  <c r="AV20" i="52" s="1"/>
  <c r="AW20" i="52"/>
  <c r="AZ20" i="52"/>
  <c r="AS20" i="52"/>
  <c r="AX20" i="52" s="1"/>
  <c r="BN20" i="52"/>
  <c r="BM20" i="52"/>
  <c r="AR20" i="52"/>
  <c r="AT20" i="52"/>
  <c r="AY20" i="52"/>
  <c r="M25" i="52"/>
  <c r="BU30" i="52"/>
  <c r="M19" i="52"/>
  <c r="M18" i="52"/>
  <c r="BV40" i="52"/>
  <c r="BU40" i="52" s="1"/>
  <c r="BS43" i="52"/>
  <c r="AZ22" i="52"/>
  <c r="BN22" i="52"/>
  <c r="AR22" i="52"/>
  <c r="BM22" i="52"/>
  <c r="AQ22" i="52"/>
  <c r="AV22" i="52" s="1"/>
  <c r="AS22" i="52"/>
  <c r="AX22" i="52"/>
  <c r="AW22" i="52"/>
  <c r="AT22" i="52"/>
  <c r="AY22" i="52" s="1"/>
  <c r="AY37" i="52"/>
  <c r="M26" i="52"/>
  <c r="M21" i="52"/>
  <c r="AS23" i="52"/>
  <c r="AR23" i="52"/>
  <c r="AZ23" i="52"/>
  <c r="AX23" i="52"/>
  <c r="AW23" i="52"/>
  <c r="AQ23" i="52"/>
  <c r="AV23" i="52" s="1"/>
  <c r="AT23" i="52"/>
  <c r="AY23" i="52"/>
  <c r="BN23" i="52"/>
  <c r="BM23" i="52"/>
  <c r="Q20" i="52"/>
  <c r="P21" i="52"/>
  <c r="BM37" i="52"/>
  <c r="M24" i="52"/>
  <c r="M22" i="52"/>
  <c r="M17" i="52"/>
  <c r="AV37" i="52"/>
  <c r="BM17" i="52"/>
  <c r="AJ17" i="52"/>
  <c r="AZ17" i="52"/>
  <c r="AX17" i="52"/>
  <c r="AY17" i="52"/>
  <c r="BN17" i="52"/>
  <c r="AW17" i="52"/>
  <c r="AV17" i="52"/>
  <c r="AT25" i="52"/>
  <c r="AQ25" i="52"/>
  <c r="AX25" i="52"/>
  <c r="AV25" i="52"/>
  <c r="BM25" i="52"/>
  <c r="AY25" i="52"/>
  <c r="BN25" i="52"/>
  <c r="AW25" i="52"/>
  <c r="AS25" i="52"/>
  <c r="AZ25" i="52"/>
  <c r="AR25" i="52"/>
  <c r="M29" i="52"/>
  <c r="AQ26" i="52"/>
  <c r="AV26" i="52" s="1"/>
  <c r="AS26" i="52"/>
  <c r="AR26" i="52"/>
  <c r="AW26" i="52" s="1"/>
  <c r="AY26" i="52"/>
  <c r="AZ26" i="52"/>
  <c r="AT26" i="52"/>
  <c r="AX26" i="52"/>
  <c r="BN26" i="52"/>
  <c r="BM26" i="52"/>
  <c r="AT19" i="52"/>
  <c r="AQ19" i="52"/>
  <c r="AV19" i="52"/>
  <c r="AY19" i="52"/>
  <c r="BM19" i="52"/>
  <c r="AS19" i="52"/>
  <c r="AX19" i="52"/>
  <c r="AR19" i="52"/>
  <c r="AW19" i="52" s="1"/>
  <c r="AZ19" i="52"/>
  <c r="BN19" i="52"/>
  <c r="BU33" i="52"/>
  <c r="AR21" i="52"/>
  <c r="AY21" i="52"/>
  <c r="AZ21" i="52"/>
  <c r="BN21" i="52"/>
  <c r="BM21" i="52"/>
  <c r="AS21" i="52"/>
  <c r="AQ21" i="52"/>
  <c r="AV21" i="52" s="1"/>
  <c r="AW21" i="52"/>
  <c r="AX21" i="52"/>
  <c r="AT21" i="52"/>
  <c r="AP31" i="52"/>
  <c r="BP31" i="52"/>
  <c r="M31" i="52"/>
  <c r="H13" i="52"/>
  <c r="AY40" i="52"/>
  <c r="AW41" i="52"/>
  <c r="AX40" i="52"/>
  <c r="AY33" i="52"/>
  <c r="AW38" i="52"/>
  <c r="AV40" i="52"/>
  <c r="AY41" i="52"/>
  <c r="AX35" i="52"/>
  <c r="AV35" i="52"/>
  <c r="AW40" i="52"/>
  <c r="BN40" i="52"/>
  <c r="AV38" i="52"/>
  <c r="BM41" i="52"/>
  <c r="BN41" i="52"/>
  <c r="BN38" i="52"/>
  <c r="AW27" i="52"/>
  <c r="AX27" i="52"/>
  <c r="AX36" i="52"/>
  <c r="AW33" i="52"/>
  <c r="AV33" i="52"/>
  <c r="AY32" i="52"/>
  <c r="AW39" i="52"/>
  <c r="AV39" i="52"/>
  <c r="BM35" i="52"/>
  <c r="BM32" i="52"/>
  <c r="AX33" i="52"/>
  <c r="L9" i="52"/>
  <c r="AA12" i="52" s="1"/>
  <c r="AY35" i="52"/>
  <c r="AV32" i="52"/>
  <c r="AY38" i="52"/>
  <c r="AX41" i="52"/>
  <c r="BN33" i="52"/>
  <c r="BM33" i="52"/>
  <c r="I9" i="52"/>
  <c r="J9" i="52" s="1"/>
  <c r="AW32" i="52"/>
  <c r="AW35" i="52"/>
  <c r="AW36" i="52"/>
  <c r="BM40" i="52"/>
  <c r="BN32" i="52"/>
  <c r="BN36" i="52"/>
  <c r="BP15" i="52"/>
  <c r="BP14" i="52" s="1"/>
  <c r="AV41" i="52"/>
  <c r="M27" i="52"/>
  <c r="AX32" i="52"/>
  <c r="AX38" i="52"/>
  <c r="BM39" i="52"/>
  <c r="BN35" i="52"/>
  <c r="AV36" i="52"/>
  <c r="AY39" i="52"/>
  <c r="BM42" i="52"/>
  <c r="AV34" i="52"/>
  <c r="AY36" i="52"/>
  <c r="BN42" i="52"/>
  <c r="AY34" i="52"/>
  <c r="BM34" i="52"/>
  <c r="BN34" i="52"/>
  <c r="BN27" i="52"/>
  <c r="AW42" i="52"/>
  <c r="AV42" i="52"/>
  <c r="AX42" i="52"/>
  <c r="AY42" i="52"/>
  <c r="BM38" i="52"/>
  <c r="AX34" i="52"/>
  <c r="BM36" i="52"/>
  <c r="BM27" i="52"/>
  <c r="BN39" i="52"/>
  <c r="AY27" i="52"/>
  <c r="AX39" i="52"/>
  <c r="AV27" i="52"/>
  <c r="AW34" i="52"/>
  <c r="AA13" i="52"/>
  <c r="AA14" i="52" s="1"/>
  <c r="BC9" i="52" s="1"/>
  <c r="AT29" i="52"/>
  <c r="AQ29" i="52"/>
  <c r="AR29" i="52"/>
  <c r="AW29" i="52" s="1"/>
  <c r="BM29" i="52"/>
  <c r="AV29" i="52"/>
  <c r="AY29" i="52"/>
  <c r="AS29" i="52"/>
  <c r="AZ29" i="52"/>
  <c r="BN29" i="52"/>
  <c r="AX29" i="52"/>
  <c r="AW37" i="52"/>
  <c r="M28" i="52"/>
  <c r="BN18" i="52"/>
  <c r="AV18" i="52"/>
  <c r="AR18" i="52"/>
  <c r="AW18" i="52" s="1"/>
  <c r="BM18" i="52"/>
  <c r="AZ18" i="52"/>
  <c r="AS18" i="52"/>
  <c r="AT18" i="52"/>
  <c r="AY18" i="52" s="1"/>
  <c r="AX18" i="52"/>
  <c r="AQ18" i="52"/>
  <c r="AT28" i="52"/>
  <c r="AY28" i="52" s="1"/>
  <c r="AR28" i="52"/>
  <c r="AW28" i="52" s="1"/>
  <c r="AS28" i="52"/>
  <c r="AX28" i="52" s="1"/>
  <c r="AQ28" i="52"/>
  <c r="AV28" i="52" s="1"/>
  <c r="AZ28" i="52"/>
  <c r="BM28" i="52"/>
  <c r="BN28" i="52"/>
  <c r="M30" i="52"/>
  <c r="BV29" i="52"/>
  <c r="BU29" i="52" s="1"/>
  <c r="BS32" i="52"/>
  <c r="AS30" i="52"/>
  <c r="AX30" i="52" s="1"/>
  <c r="AW30" i="52"/>
  <c r="BN30" i="52"/>
  <c r="BM30" i="52"/>
  <c r="AQ30" i="52"/>
  <c r="AV30" i="52" s="1"/>
  <c r="AZ30" i="52"/>
  <c r="AR30" i="52"/>
  <c r="AT30" i="52"/>
  <c r="AY30" i="52" s="1"/>
  <c r="BN37" i="52"/>
  <c r="BS39" i="52"/>
  <c r="BV36" i="52"/>
  <c r="BU36" i="52" s="1"/>
  <c r="AR13" i="42"/>
  <c r="AE5" i="42"/>
  <c r="AE4" i="42"/>
  <c r="AE6" i="42"/>
  <c r="AE8" i="42"/>
  <c r="AE9" i="42"/>
  <c r="AE10" i="42"/>
  <c r="T20" i="42"/>
  <c r="U19" i="42"/>
  <c r="BB8" i="42"/>
  <c r="BB5" i="42"/>
  <c r="BB4" i="42"/>
  <c r="BB13" i="42" s="1"/>
  <c r="BB6" i="42"/>
  <c r="U19" i="52"/>
  <c r="T20" i="52"/>
  <c r="BB9" i="57" l="1"/>
  <c r="BB7" i="57"/>
  <c r="BB4" i="57"/>
  <c r="BB13" i="57" s="1"/>
  <c r="BB8" i="57"/>
  <c r="J13" i="57"/>
  <c r="AR6" i="57" s="1"/>
  <c r="BU31" i="57"/>
  <c r="BU32" i="57" s="1"/>
  <c r="BU33" i="57"/>
  <c r="BV34" i="57"/>
  <c r="BU34" i="57" s="1"/>
  <c r="BU35" i="57" s="1"/>
  <c r="AR8" i="57"/>
  <c r="T28" i="56"/>
  <c r="U27" i="56"/>
  <c r="BV34" i="56"/>
  <c r="BU31" i="56"/>
  <c r="BU32" i="56" s="1"/>
  <c r="BU33" i="56" s="1"/>
  <c r="BS39" i="57"/>
  <c r="BV36" i="57"/>
  <c r="BS43" i="57"/>
  <c r="BR15" i="57"/>
  <c r="K13" i="57"/>
  <c r="BS44" i="57"/>
  <c r="BV41" i="57"/>
  <c r="AR4" i="57"/>
  <c r="AR9" i="57"/>
  <c r="BS44" i="56"/>
  <c r="BV41" i="56"/>
  <c r="BS39" i="56"/>
  <c r="BV36" i="56"/>
  <c r="L13" i="56"/>
  <c r="J13" i="56"/>
  <c r="BS46" i="56"/>
  <c r="BR15" i="56"/>
  <c r="K13" i="56"/>
  <c r="AU21" i="52"/>
  <c r="BQ21" i="52"/>
  <c r="BQ26" i="52"/>
  <c r="AU26" i="52"/>
  <c r="BQ28" i="52"/>
  <c r="AU28" i="52"/>
  <c r="AU30" i="52"/>
  <c r="BQ30" i="52"/>
  <c r="BQ20" i="52"/>
  <c r="AU20" i="52"/>
  <c r="BQ23" i="52"/>
  <c r="AU23" i="52"/>
  <c r="AU18" i="52"/>
  <c r="AU22" i="52"/>
  <c r="BQ22" i="52"/>
  <c r="AU29" i="52"/>
  <c r="BQ29" i="52"/>
  <c r="BV43" i="52"/>
  <c r="BU43" i="52" s="1"/>
  <c r="BS46" i="52"/>
  <c r="AJ15" i="52"/>
  <c r="I13" i="52" s="1"/>
  <c r="AF18" i="52"/>
  <c r="AE18" i="52"/>
  <c r="AD18" i="52"/>
  <c r="AI18" i="52"/>
  <c r="AH18" i="52"/>
  <c r="AG18" i="52"/>
  <c r="AD19" i="52"/>
  <c r="AG19" i="52"/>
  <c r="AI19" i="52"/>
  <c r="AE19" i="52"/>
  <c r="AF19" i="52"/>
  <c r="AH19" i="52"/>
  <c r="BS42" i="52"/>
  <c r="BV39" i="52"/>
  <c r="BU39" i="52" s="1"/>
  <c r="BQ18" i="52"/>
  <c r="BQ34" i="52"/>
  <c r="AU34" i="52"/>
  <c r="AE28" i="52"/>
  <c r="AG28" i="52"/>
  <c r="AI28" i="52"/>
  <c r="AD28" i="52"/>
  <c r="AH28" i="52"/>
  <c r="AF28" i="52"/>
  <c r="AH20" i="52"/>
  <c r="AI20" i="52"/>
  <c r="AG20" i="52"/>
  <c r="AE20" i="52"/>
  <c r="AD20" i="52"/>
  <c r="AF20" i="52"/>
  <c r="BQ27" i="52"/>
  <c r="AU27" i="52"/>
  <c r="AD31" i="52"/>
  <c r="AH31" i="52"/>
  <c r="AE31" i="52"/>
  <c r="AF31" i="52"/>
  <c r="AI31" i="52"/>
  <c r="AG31" i="52"/>
  <c r="AE24" i="52"/>
  <c r="AD24" i="52"/>
  <c r="AG24" i="52"/>
  <c r="AI24" i="52"/>
  <c r="AH24" i="52"/>
  <c r="AF24" i="52"/>
  <c r="AU25" i="52"/>
  <c r="BQ25" i="52"/>
  <c r="BQ38" i="52"/>
  <c r="AU38" i="52"/>
  <c r="AH17" i="52"/>
  <c r="AI17" i="52"/>
  <c r="AG17" i="52"/>
  <c r="AF17" i="52"/>
  <c r="AE17" i="52"/>
  <c r="AD17" i="52"/>
  <c r="AG25" i="52"/>
  <c r="AD25" i="52"/>
  <c r="AE25" i="52"/>
  <c r="AH25" i="52"/>
  <c r="AF25" i="52"/>
  <c r="AI25" i="52"/>
  <c r="AU19" i="52"/>
  <c r="BQ19" i="52"/>
  <c r="AF22" i="52"/>
  <c r="AD22" i="52"/>
  <c r="AE22" i="52"/>
  <c r="AI22" i="52"/>
  <c r="AH22" i="52"/>
  <c r="AG22" i="52"/>
  <c r="AU35" i="52"/>
  <c r="BQ35" i="52"/>
  <c r="AE29" i="52"/>
  <c r="AD29" i="52"/>
  <c r="AF29" i="52"/>
  <c r="AI29" i="52"/>
  <c r="AH29" i="52"/>
  <c r="AG29" i="52"/>
  <c r="BQ17" i="52"/>
  <c r="AU17" i="52"/>
  <c r="BQ24" i="52"/>
  <c r="AU24" i="52"/>
  <c r="BV32" i="52"/>
  <c r="BU32" i="52" s="1"/>
  <c r="BS35" i="52"/>
  <c r="AH30" i="52"/>
  <c r="AG30" i="52"/>
  <c r="AF30" i="52"/>
  <c r="AI30" i="52"/>
  <c r="AE30" i="52"/>
  <c r="AD30" i="52"/>
  <c r="AU42" i="52"/>
  <c r="BQ42" i="52"/>
  <c r="AE27" i="52"/>
  <c r="AF27" i="52"/>
  <c r="AG27" i="52"/>
  <c r="AH27" i="52"/>
  <c r="AD27" i="52"/>
  <c r="AI27" i="52"/>
  <c r="AU33" i="52"/>
  <c r="BQ33" i="52"/>
  <c r="AQ31" i="52"/>
  <c r="AR31" i="52"/>
  <c r="AW31" i="52" s="1"/>
  <c r="AW15" i="52" s="1"/>
  <c r="AJ31" i="52"/>
  <c r="BN31" i="52"/>
  <c r="BN15" i="52" s="1"/>
  <c r="AX31" i="52"/>
  <c r="AX15" i="52" s="1"/>
  <c r="BM31" i="52"/>
  <c r="BM15" i="52" s="1"/>
  <c r="AV31" i="52"/>
  <c r="AZ31" i="52"/>
  <c r="AZ15" i="52" s="1"/>
  <c r="AS31" i="52"/>
  <c r="AT31" i="52"/>
  <c r="AY31" i="52" s="1"/>
  <c r="AY15" i="52" s="1"/>
  <c r="Q21" i="52"/>
  <c r="P22" i="52"/>
  <c r="BQ36" i="52"/>
  <c r="AU36" i="52"/>
  <c r="AU37" i="52"/>
  <c r="BQ37" i="52"/>
  <c r="AU39" i="52"/>
  <c r="BQ39" i="52"/>
  <c r="AU41" i="52"/>
  <c r="BQ41" i="52"/>
  <c r="AH21" i="52"/>
  <c r="AF21" i="52"/>
  <c r="AG21" i="52"/>
  <c r="AE21" i="52"/>
  <c r="AD21" i="52"/>
  <c r="AI21" i="52"/>
  <c r="AU32" i="52"/>
  <c r="BQ32" i="52"/>
  <c r="AU40" i="52"/>
  <c r="BQ40" i="52"/>
  <c r="AG26" i="52"/>
  <c r="AE26" i="52"/>
  <c r="AD26" i="52"/>
  <c r="AI26" i="52"/>
  <c r="AF26" i="52"/>
  <c r="AH26" i="52"/>
  <c r="AE13" i="42"/>
  <c r="U20" i="42"/>
  <c r="T21" i="42"/>
  <c r="U20" i="52"/>
  <c r="T21" i="52"/>
  <c r="AR7" i="57" l="1"/>
  <c r="AR5" i="57"/>
  <c r="AR13" i="57"/>
  <c r="BU36" i="57"/>
  <c r="BV37" i="57"/>
  <c r="BU37" i="57" s="1"/>
  <c r="BU38" i="57" s="1"/>
  <c r="BV37" i="56"/>
  <c r="BU34" i="56"/>
  <c r="BU35" i="56" s="1"/>
  <c r="BU36" i="56" s="1"/>
  <c r="U28" i="56"/>
  <c r="T29" i="56"/>
  <c r="AE4" i="57"/>
  <c r="AE5" i="57"/>
  <c r="AE6" i="57"/>
  <c r="AE7" i="57"/>
  <c r="AE9" i="57"/>
  <c r="AE10" i="57"/>
  <c r="AE8" i="57"/>
  <c r="BV44" i="57"/>
  <c r="BS47" i="57"/>
  <c r="BS46" i="57"/>
  <c r="BS42" i="57"/>
  <c r="BV39" i="57"/>
  <c r="AR4" i="56"/>
  <c r="AR9" i="56"/>
  <c r="AR8" i="56"/>
  <c r="AR6" i="56"/>
  <c r="AR7" i="56"/>
  <c r="AR5" i="56"/>
  <c r="AE4" i="56"/>
  <c r="AE5" i="56"/>
  <c r="AE10" i="56"/>
  <c r="AE8" i="56"/>
  <c r="AE9" i="56"/>
  <c r="AE6" i="56"/>
  <c r="AE7" i="56"/>
  <c r="BS49" i="56"/>
  <c r="BV39" i="56"/>
  <c r="BS42" i="56"/>
  <c r="BB4" i="56"/>
  <c r="BB9" i="56"/>
  <c r="BB8" i="56"/>
  <c r="BB5" i="56"/>
  <c r="BB6" i="56"/>
  <c r="BB7" i="56"/>
  <c r="BV44" i="56"/>
  <c r="BS47" i="56"/>
  <c r="AS6" i="52"/>
  <c r="BC6" i="52"/>
  <c r="AF6" i="52"/>
  <c r="BC7" i="52"/>
  <c r="AF7" i="52"/>
  <c r="AS7" i="52"/>
  <c r="AF9" i="52"/>
  <c r="AA15" i="52"/>
  <c r="AF10" i="52"/>
  <c r="BQ31" i="52"/>
  <c r="BQ15" i="52" s="1"/>
  <c r="AU31" i="52"/>
  <c r="AU15" i="52" s="1"/>
  <c r="AS8" i="52"/>
  <c r="BC8" i="52"/>
  <c r="AF8" i="52"/>
  <c r="BV35" i="52"/>
  <c r="BU35" i="52" s="1"/>
  <c r="BS38" i="52"/>
  <c r="Q22" i="52"/>
  <c r="P23" i="52"/>
  <c r="BS49" i="52"/>
  <c r="BV46" i="52"/>
  <c r="BU46" i="52" s="1"/>
  <c r="AV15" i="52"/>
  <c r="BS45" i="52"/>
  <c r="BV42" i="52"/>
  <c r="BU42" i="52" s="1"/>
  <c r="U21" i="42"/>
  <c r="T22" i="42"/>
  <c r="T22" i="52"/>
  <c r="U21" i="52"/>
  <c r="BU39" i="57" l="1"/>
  <c r="BV40" i="57"/>
  <c r="U29" i="56"/>
  <c r="T30" i="56"/>
  <c r="BU37" i="56"/>
  <c r="BU38" i="56" s="1"/>
  <c r="BU39" i="56" s="1"/>
  <c r="BV40" i="56"/>
  <c r="BS49" i="57"/>
  <c r="BV47" i="57"/>
  <c r="BS50" i="57"/>
  <c r="BV42" i="57"/>
  <c r="BS45" i="57"/>
  <c r="AE13" i="57"/>
  <c r="BB13" i="56"/>
  <c r="AE13" i="56"/>
  <c r="BV42" i="56"/>
  <c r="BS45" i="56"/>
  <c r="BV47" i="56"/>
  <c r="BS50" i="56"/>
  <c r="BS52" i="56"/>
  <c r="AR13" i="56"/>
  <c r="BR15" i="52"/>
  <c r="K13" i="52"/>
  <c r="BS48" i="52"/>
  <c r="BV45" i="52"/>
  <c r="BU45" i="52" s="1"/>
  <c r="J13" i="52"/>
  <c r="AR5" i="52" s="1"/>
  <c r="L13" i="52"/>
  <c r="BS52" i="52"/>
  <c r="BV49" i="52"/>
  <c r="BU49" i="52" s="1"/>
  <c r="AS5" i="52"/>
  <c r="AF5" i="52"/>
  <c r="BC5" i="52"/>
  <c r="P24" i="52"/>
  <c r="Q23" i="52"/>
  <c r="BV38" i="52"/>
  <c r="BU38" i="52" s="1"/>
  <c r="BS41" i="52"/>
  <c r="U22" i="42"/>
  <c r="T23" i="42"/>
  <c r="U22" i="52"/>
  <c r="T23" i="52"/>
  <c r="BU40" i="56" l="1"/>
  <c r="BU41" i="56" s="1"/>
  <c r="BU42" i="56" s="1"/>
  <c r="BU40" i="57"/>
  <c r="BU41" i="57" s="1"/>
  <c r="BU42" i="57" s="1"/>
  <c r="BV43" i="57"/>
  <c r="T31" i="56"/>
  <c r="U30" i="56"/>
  <c r="BV43" i="56"/>
  <c r="BV45" i="57"/>
  <c r="BS48" i="57"/>
  <c r="BV50" i="57"/>
  <c r="BS53" i="57"/>
  <c r="BS52" i="57"/>
  <c r="BS55" i="56"/>
  <c r="BS53" i="56"/>
  <c r="BV50" i="56"/>
  <c r="BV45" i="56"/>
  <c r="BS48" i="56"/>
  <c r="AE5" i="52"/>
  <c r="BV52" i="52"/>
  <c r="BU52" i="52" s="1"/>
  <c r="BS55" i="52"/>
  <c r="BV41" i="52"/>
  <c r="BU41" i="52" s="1"/>
  <c r="BS44" i="52"/>
  <c r="BB4" i="52"/>
  <c r="BB9" i="52"/>
  <c r="BB6" i="52"/>
  <c r="BB7" i="52"/>
  <c r="BB8" i="52"/>
  <c r="AR4" i="52"/>
  <c r="AR9" i="52"/>
  <c r="AR6" i="52"/>
  <c r="AR7" i="52"/>
  <c r="AR8" i="52"/>
  <c r="Q24" i="52"/>
  <c r="P25" i="52"/>
  <c r="BV48" i="52"/>
  <c r="BU48" i="52" s="1"/>
  <c r="BS51" i="52"/>
  <c r="AE4" i="52"/>
  <c r="AE8" i="52"/>
  <c r="AE9" i="52"/>
  <c r="AE10" i="52"/>
  <c r="AE6" i="52"/>
  <c r="AE7" i="52"/>
  <c r="BB5" i="52"/>
  <c r="T24" i="42"/>
  <c r="U23" i="42"/>
  <c r="U23" i="52"/>
  <c r="T24" i="52"/>
  <c r="BU43" i="57" l="1"/>
  <c r="BU44" i="57" s="1"/>
  <c r="BU45" i="57" s="1"/>
  <c r="BU43" i="56"/>
  <c r="BU44" i="56" s="1"/>
  <c r="BU45" i="56" s="1"/>
  <c r="BV46" i="57"/>
  <c r="BV46" i="56"/>
  <c r="T32" i="56"/>
  <c r="U31" i="56"/>
  <c r="BS55" i="57"/>
  <c r="BV53" i="57"/>
  <c r="BS56" i="57"/>
  <c r="BV48" i="57"/>
  <c r="BS51" i="57"/>
  <c r="BS56" i="56"/>
  <c r="BV53" i="56"/>
  <c r="BS58" i="56"/>
  <c r="BV48" i="56"/>
  <c r="BS51" i="56"/>
  <c r="AE13" i="52"/>
  <c r="AR13" i="52"/>
  <c r="BS54" i="52"/>
  <c r="BV51" i="52"/>
  <c r="BU51" i="52" s="1"/>
  <c r="BB13" i="52"/>
  <c r="Q25" i="52"/>
  <c r="P26" i="52"/>
  <c r="BV44" i="52"/>
  <c r="BU44" i="52" s="1"/>
  <c r="BS47" i="52"/>
  <c r="BV55" i="52"/>
  <c r="BU55" i="52" s="1"/>
  <c r="BS58" i="52"/>
  <c r="U24" i="42"/>
  <c r="T25" i="42"/>
  <c r="U24" i="52"/>
  <c r="T25" i="52"/>
  <c r="BU46" i="57" l="1"/>
  <c r="BU47" i="57" s="1"/>
  <c r="BU48" i="57" s="1"/>
  <c r="BU46" i="56"/>
  <c r="BU47" i="56" s="1"/>
  <c r="BU48" i="56" s="1"/>
  <c r="BV49" i="57"/>
  <c r="BV49" i="56"/>
  <c r="U32" i="56"/>
  <c r="T33" i="56"/>
  <c r="BV51" i="57"/>
  <c r="BS54" i="57"/>
  <c r="BV56" i="57"/>
  <c r="BS59" i="57"/>
  <c r="BS58" i="57"/>
  <c r="BV51" i="56"/>
  <c r="BS54" i="56"/>
  <c r="BS61" i="56"/>
  <c r="BS59" i="56"/>
  <c r="BV56" i="56"/>
  <c r="BV58" i="52"/>
  <c r="BU58" i="52" s="1"/>
  <c r="BS61" i="52"/>
  <c r="BV47" i="52"/>
  <c r="BU47" i="52" s="1"/>
  <c r="BS50" i="52"/>
  <c r="Q26" i="52"/>
  <c r="P27" i="52"/>
  <c r="BS57" i="52"/>
  <c r="BV54" i="52"/>
  <c r="BU54" i="52" s="1"/>
  <c r="U25" i="42"/>
  <c r="T26" i="42"/>
  <c r="U25" i="52"/>
  <c r="T26" i="52"/>
  <c r="BU49" i="57" l="1"/>
  <c r="BU50" i="57" s="1"/>
  <c r="BU51" i="57" s="1"/>
  <c r="BU49" i="56"/>
  <c r="BU50" i="56" s="1"/>
  <c r="BU51" i="56" s="1"/>
  <c r="BV52" i="57"/>
  <c r="T34" i="56"/>
  <c r="U33" i="56"/>
  <c r="BV52" i="56"/>
  <c r="BS61" i="57"/>
  <c r="BV59" i="57"/>
  <c r="BS62" i="57"/>
  <c r="BV54" i="57"/>
  <c r="BS57" i="57"/>
  <c r="BV59" i="56"/>
  <c r="BS62" i="56"/>
  <c r="BS64" i="56"/>
  <c r="BV54" i="56"/>
  <c r="BS57" i="56"/>
  <c r="BS60" i="52"/>
  <c r="BV57" i="52"/>
  <c r="BU57" i="52" s="1"/>
  <c r="P28" i="52"/>
  <c r="Q27" i="52"/>
  <c r="BV50" i="52"/>
  <c r="BU50" i="52" s="1"/>
  <c r="BS53" i="52"/>
  <c r="BS64" i="52"/>
  <c r="BV61" i="52"/>
  <c r="BU61" i="52" s="1"/>
  <c r="U26" i="42"/>
  <c r="T27" i="42"/>
  <c r="T27" i="52"/>
  <c r="U26" i="52"/>
  <c r="BU52" i="57" l="1"/>
  <c r="BU53" i="57" s="1"/>
  <c r="BU52" i="56"/>
  <c r="BU53" i="56" s="1"/>
  <c r="BU54" i="57"/>
  <c r="BV55" i="57"/>
  <c r="BU55" i="57" s="1"/>
  <c r="BU56" i="57" s="1"/>
  <c r="BU54" i="56"/>
  <c r="BV55" i="56"/>
  <c r="BU55" i="56" s="1"/>
  <c r="BU56" i="56" s="1"/>
  <c r="U34" i="56"/>
  <c r="T35" i="56"/>
  <c r="BV57" i="57"/>
  <c r="BS60" i="57"/>
  <c r="BV62" i="57"/>
  <c r="BS65" i="57"/>
  <c r="BS64" i="57"/>
  <c r="BS67" i="56"/>
  <c r="BS65" i="56"/>
  <c r="BV62" i="56"/>
  <c r="BV57" i="56"/>
  <c r="BS60" i="56"/>
  <c r="BS67" i="52"/>
  <c r="BS56" i="52"/>
  <c r="BV53" i="52"/>
  <c r="BU53" i="52" s="1"/>
  <c r="Q28" i="52"/>
  <c r="P29" i="52"/>
  <c r="BV60" i="52"/>
  <c r="BU60" i="52" s="1"/>
  <c r="BS63" i="52"/>
  <c r="U27" i="42"/>
  <c r="T28" i="42"/>
  <c r="U27" i="52"/>
  <c r="T28" i="52"/>
  <c r="BU57" i="57" l="1"/>
  <c r="BV58" i="57"/>
  <c r="BU58" i="57" s="1"/>
  <c r="BU59" i="57" s="1"/>
  <c r="BU57" i="56"/>
  <c r="BV58" i="56"/>
  <c r="BU58" i="56" s="1"/>
  <c r="BU59" i="56" s="1"/>
  <c r="T36" i="56"/>
  <c r="U35" i="56"/>
  <c r="BS67" i="57"/>
  <c r="BV65" i="57"/>
  <c r="BS68" i="57"/>
  <c r="BV60" i="57"/>
  <c r="BS63" i="57"/>
  <c r="BV65" i="56"/>
  <c r="BS68" i="56"/>
  <c r="BV60" i="56"/>
  <c r="BS63" i="56"/>
  <c r="BS70" i="56"/>
  <c r="BV63" i="52"/>
  <c r="BV64" i="52" s="1"/>
  <c r="BS66" i="52"/>
  <c r="P30" i="52"/>
  <c r="Q29" i="52"/>
  <c r="BS59" i="52"/>
  <c r="BV56" i="52"/>
  <c r="BU56" i="52" s="1"/>
  <c r="BS70" i="52"/>
  <c r="U28" i="42"/>
  <c r="T29" i="42"/>
  <c r="U28" i="52"/>
  <c r="T29" i="52"/>
  <c r="BU60" i="57" l="1"/>
  <c r="BV61" i="57"/>
  <c r="T37" i="56"/>
  <c r="U36" i="56"/>
  <c r="BU60" i="56"/>
  <c r="BV61" i="56"/>
  <c r="BU61" i="56" s="1"/>
  <c r="BU62" i="56" s="1"/>
  <c r="BV63" i="57"/>
  <c r="BS66" i="57"/>
  <c r="BV68" i="57"/>
  <c r="BS71" i="57"/>
  <c r="BS70" i="57"/>
  <c r="BS73" i="56"/>
  <c r="BV63" i="56"/>
  <c r="BS66" i="56"/>
  <c r="BS71" i="56"/>
  <c r="BV68" i="56"/>
  <c r="BS73" i="52"/>
  <c r="BV59" i="52"/>
  <c r="BU59" i="52" s="1"/>
  <c r="BS62" i="52"/>
  <c r="P31" i="52"/>
  <c r="Q30" i="52"/>
  <c r="BV66" i="52"/>
  <c r="BV67" i="52" s="1"/>
  <c r="BS69" i="52"/>
  <c r="U29" i="42"/>
  <c r="T30" i="42"/>
  <c r="U29" i="52"/>
  <c r="T30" i="52"/>
  <c r="BU61" i="57" l="1"/>
  <c r="BU62" i="57" s="1"/>
  <c r="BU63" i="57" s="1"/>
  <c r="U37" i="56"/>
  <c r="T38" i="56"/>
  <c r="BS73" i="57"/>
  <c r="BV71" i="57"/>
  <c r="BS74" i="57"/>
  <c r="BV66" i="57"/>
  <c r="BS69" i="57"/>
  <c r="BV64" i="57"/>
  <c r="BV66" i="56"/>
  <c r="BS69" i="56"/>
  <c r="BU63" i="56"/>
  <c r="BV64" i="56"/>
  <c r="BS76" i="56"/>
  <c r="BV71" i="56"/>
  <c r="BS74" i="56"/>
  <c r="BV69" i="52"/>
  <c r="BV70" i="52" s="1"/>
  <c r="BS72" i="52"/>
  <c r="Q31" i="52"/>
  <c r="P32" i="52"/>
  <c r="BV62" i="52"/>
  <c r="BU62" i="52" s="1"/>
  <c r="BU63" i="52" s="1"/>
  <c r="BU64" i="52" s="1"/>
  <c r="BS65" i="52"/>
  <c r="BS76" i="52"/>
  <c r="U30" i="42"/>
  <c r="T31" i="42"/>
  <c r="U30" i="52"/>
  <c r="T31" i="52"/>
  <c r="BU64" i="57" l="1"/>
  <c r="BU65" i="57" s="1"/>
  <c r="BU64" i="56"/>
  <c r="BU65" i="56" s="1"/>
  <c r="U38" i="56"/>
  <c r="T39" i="56"/>
  <c r="BV69" i="57"/>
  <c r="BS72" i="57"/>
  <c r="BU66" i="57"/>
  <c r="BV67" i="57"/>
  <c r="BU67" i="57" s="1"/>
  <c r="BU68" i="57" s="1"/>
  <c r="BV74" i="57"/>
  <c r="BS77" i="57"/>
  <c r="BS76" i="57"/>
  <c r="BV69" i="56"/>
  <c r="BS72" i="56"/>
  <c r="BU66" i="56"/>
  <c r="BV67" i="56"/>
  <c r="BS77" i="56"/>
  <c r="BV74" i="56"/>
  <c r="BS79" i="56"/>
  <c r="BS79" i="52"/>
  <c r="BS68" i="52"/>
  <c r="BV65" i="52"/>
  <c r="BU65" i="52"/>
  <c r="BU66" i="52" s="1"/>
  <c r="BU67" i="52" s="1"/>
  <c r="Q32" i="52"/>
  <c r="P33" i="52"/>
  <c r="BS75" i="52"/>
  <c r="BV72" i="52"/>
  <c r="BV73" i="52" s="1"/>
  <c r="T32" i="42"/>
  <c r="U31" i="42"/>
  <c r="U31" i="52"/>
  <c r="T32" i="52"/>
  <c r="BU67" i="56" l="1"/>
  <c r="BU68" i="56" s="1"/>
  <c r="BU69" i="56" s="1"/>
  <c r="U39" i="56"/>
  <c r="T40" i="56"/>
  <c r="BS79" i="57"/>
  <c r="BV77" i="57"/>
  <c r="BS80" i="57"/>
  <c r="BV72" i="57"/>
  <c r="BS75" i="57"/>
  <c r="BU69" i="57"/>
  <c r="BV70" i="57"/>
  <c r="BS82" i="56"/>
  <c r="BS80" i="56"/>
  <c r="BV77" i="56"/>
  <c r="BV72" i="56"/>
  <c r="BS75" i="56"/>
  <c r="BV70" i="56"/>
  <c r="BS78" i="52"/>
  <c r="BV75" i="52"/>
  <c r="BV76" i="52" s="1"/>
  <c r="Q33" i="52"/>
  <c r="P34" i="52"/>
  <c r="BS71" i="52"/>
  <c r="BV68" i="52"/>
  <c r="BU68" i="52" s="1"/>
  <c r="BU69" i="52" s="1"/>
  <c r="BU70" i="52" s="1"/>
  <c r="BS82" i="52"/>
  <c r="T33" i="42"/>
  <c r="U32" i="42"/>
  <c r="U32" i="52"/>
  <c r="T33" i="52"/>
  <c r="BU70" i="57" l="1"/>
  <c r="BU71" i="57" s="1"/>
  <c r="BU72" i="57" s="1"/>
  <c r="BU70" i="56"/>
  <c r="BU71" i="56" s="1"/>
  <c r="T41" i="56"/>
  <c r="U41" i="56" s="1"/>
  <c r="U40" i="56"/>
  <c r="BV75" i="57"/>
  <c r="BS78" i="57"/>
  <c r="BV73" i="57"/>
  <c r="BV80" i="57"/>
  <c r="BS83" i="57"/>
  <c r="BS82" i="57"/>
  <c r="BV75" i="56"/>
  <c r="BS78" i="56"/>
  <c r="BU72" i="56"/>
  <c r="BV73" i="56"/>
  <c r="BV80" i="56"/>
  <c r="BS83" i="56"/>
  <c r="BS85" i="56"/>
  <c r="BS85" i="52"/>
  <c r="BV71" i="52"/>
  <c r="BU71" i="52" s="1"/>
  <c r="BU72" i="52" s="1"/>
  <c r="BU73" i="52" s="1"/>
  <c r="BS74" i="52"/>
  <c r="P35" i="52"/>
  <c r="Q34" i="52"/>
  <c r="BS81" i="52"/>
  <c r="BV78" i="52"/>
  <c r="BV79" i="52" s="1"/>
  <c r="U33" i="42"/>
  <c r="T34" i="42"/>
  <c r="T34" i="52"/>
  <c r="U33" i="52"/>
  <c r="BU73" i="57" l="1"/>
  <c r="BU74" i="57" s="1"/>
  <c r="BU73" i="56"/>
  <c r="BU74" i="56" s="1"/>
  <c r="BS85" i="57"/>
  <c r="BV83" i="57"/>
  <c r="BS86" i="57"/>
  <c r="BV78" i="57"/>
  <c r="BS81" i="57"/>
  <c r="BU75" i="57"/>
  <c r="BV76" i="57"/>
  <c r="BU76" i="57" s="1"/>
  <c r="BU77" i="57" s="1"/>
  <c r="BS88" i="56"/>
  <c r="BV83" i="56"/>
  <c r="BS86" i="56"/>
  <c r="BV78" i="56"/>
  <c r="BS81" i="56"/>
  <c r="BU75" i="56"/>
  <c r="BV76" i="56"/>
  <c r="BU76" i="56" s="1"/>
  <c r="BU77" i="56" s="1"/>
  <c r="BV81" i="52"/>
  <c r="BV82" i="52" s="1"/>
  <c r="BS84" i="52"/>
  <c r="P36" i="52"/>
  <c r="Q35" i="52"/>
  <c r="BV74" i="52"/>
  <c r="BU74" i="52" s="1"/>
  <c r="BU75" i="52" s="1"/>
  <c r="BU76" i="52" s="1"/>
  <c r="BS77" i="52"/>
  <c r="BS88" i="52"/>
  <c r="T35" i="42"/>
  <c r="U34" i="42"/>
  <c r="U34" i="52"/>
  <c r="T35" i="52"/>
  <c r="BV81" i="57" l="1"/>
  <c r="BS84" i="57"/>
  <c r="BU78" i="57"/>
  <c r="BV79" i="57"/>
  <c r="BU79" i="57" s="1"/>
  <c r="BU80" i="57" s="1"/>
  <c r="BV86" i="57"/>
  <c r="BS89" i="57"/>
  <c r="BS88" i="57"/>
  <c r="BU78" i="56"/>
  <c r="BV79" i="56"/>
  <c r="BU79" i="56" s="1"/>
  <c r="BU80" i="56" s="1"/>
  <c r="BS91" i="56"/>
  <c r="BV81" i="56"/>
  <c r="BS84" i="56"/>
  <c r="BS89" i="56"/>
  <c r="BV86" i="56"/>
  <c r="BS91" i="52"/>
  <c r="BV77" i="52"/>
  <c r="BU77" i="52" s="1"/>
  <c r="BU78" i="52" s="1"/>
  <c r="BU79" i="52" s="1"/>
  <c r="BS80" i="52"/>
  <c r="P37" i="52"/>
  <c r="Q36" i="52"/>
  <c r="BS87" i="52"/>
  <c r="BV84" i="52"/>
  <c r="BV85" i="52" s="1"/>
  <c r="U35" i="42"/>
  <c r="T36" i="42"/>
  <c r="U35" i="52"/>
  <c r="T36" i="52"/>
  <c r="BS91" i="57" l="1"/>
  <c r="BV89" i="57"/>
  <c r="BS92" i="57"/>
  <c r="BV92" i="57" s="1"/>
  <c r="BV84" i="57"/>
  <c r="BS87" i="57"/>
  <c r="BU81" i="57"/>
  <c r="BV82" i="57"/>
  <c r="BU82" i="57" s="1"/>
  <c r="BU83" i="57" s="1"/>
  <c r="BV84" i="56"/>
  <c r="BS87" i="56"/>
  <c r="BS92" i="56"/>
  <c r="BV92" i="56" s="1"/>
  <c r="BV89" i="56"/>
  <c r="BU81" i="56"/>
  <c r="BV82" i="56"/>
  <c r="BS90" i="52"/>
  <c r="BV87" i="52"/>
  <c r="BV88" i="52" s="1"/>
  <c r="Q37" i="52"/>
  <c r="P38" i="52"/>
  <c r="BV80" i="52"/>
  <c r="BU80" i="52" s="1"/>
  <c r="BU81" i="52" s="1"/>
  <c r="BU82" i="52" s="1"/>
  <c r="BS83" i="52"/>
  <c r="U36" i="42"/>
  <c r="T37" i="42"/>
  <c r="U36" i="52"/>
  <c r="T37" i="52"/>
  <c r="BU84" i="57" l="1"/>
  <c r="BV85" i="57"/>
  <c r="BV87" i="57"/>
  <c r="BS90" i="57"/>
  <c r="BU82" i="56"/>
  <c r="BU83" i="56" s="1"/>
  <c r="BV87" i="56"/>
  <c r="BS90" i="56"/>
  <c r="BU84" i="56"/>
  <c r="BV85" i="56"/>
  <c r="BU85" i="56" s="1"/>
  <c r="BU86" i="56" s="1"/>
  <c r="BS86" i="52"/>
  <c r="BV83" i="52"/>
  <c r="BU83" i="52" s="1"/>
  <c r="BU84" i="52" s="1"/>
  <c r="BU85" i="52" s="1"/>
  <c r="Q38" i="52"/>
  <c r="P39" i="52"/>
  <c r="BV90" i="52"/>
  <c r="BV91" i="52" s="1"/>
  <c r="BS93" i="52"/>
  <c r="BV93" i="52" s="1"/>
  <c r="U37" i="42"/>
  <c r="T38" i="42"/>
  <c r="U37" i="52"/>
  <c r="T38" i="52"/>
  <c r="BU85" i="57" l="1"/>
  <c r="BU86" i="57" s="1"/>
  <c r="BU87" i="57" s="1"/>
  <c r="BV90" i="57"/>
  <c r="BS93" i="57"/>
  <c r="BV93" i="57" s="1"/>
  <c r="BV88" i="57"/>
  <c r="BV90" i="56"/>
  <c r="BS93" i="56"/>
  <c r="BV93" i="56" s="1"/>
  <c r="BU87" i="56"/>
  <c r="BV88" i="56"/>
  <c r="Q39" i="52"/>
  <c r="P40" i="52"/>
  <c r="BV86" i="52"/>
  <c r="BU86" i="52" s="1"/>
  <c r="BU87" i="52" s="1"/>
  <c r="BU88" i="52" s="1"/>
  <c r="BS89" i="52"/>
  <c r="U38" i="42"/>
  <c r="T39" i="42"/>
  <c r="U38" i="52"/>
  <c r="T39" i="52"/>
  <c r="BU88" i="57" l="1"/>
  <c r="BU89" i="57" s="1"/>
  <c r="BU90" i="57" s="1"/>
  <c r="BU88" i="56"/>
  <c r="BU89" i="56" s="1"/>
  <c r="BU90" i="56" s="1"/>
  <c r="BV91" i="57"/>
  <c r="BV91" i="56"/>
  <c r="BV89" i="52"/>
  <c r="BU89" i="52" s="1"/>
  <c r="BU90" i="52" s="1"/>
  <c r="BU91" i="52" s="1"/>
  <c r="BU92" i="52" s="1"/>
  <c r="BU93" i="52" s="1"/>
  <c r="BS92" i="52"/>
  <c r="BV92" i="52" s="1"/>
  <c r="P41" i="52"/>
  <c r="Q41" i="52" s="1"/>
  <c r="Q40" i="52"/>
  <c r="U39" i="42"/>
  <c r="T40" i="42"/>
  <c r="U39" i="52"/>
  <c r="T40" i="52"/>
  <c r="BU91" i="57" l="1"/>
  <c r="BU92" i="57" s="1"/>
  <c r="BU93" i="57" s="1"/>
  <c r="BU91" i="56"/>
  <c r="BU92" i="56" s="1"/>
  <c r="BU93" i="56" s="1"/>
  <c r="U40" i="42"/>
  <c r="T41" i="42"/>
  <c r="U41" i="42" s="1"/>
  <c r="U40" i="52"/>
  <c r="T41" i="52"/>
  <c r="U41" i="52" s="1"/>
</calcChain>
</file>

<file path=xl/comments1.xml><?xml version="1.0" encoding="utf-8"?>
<comments xmlns="http://schemas.openxmlformats.org/spreadsheetml/2006/main">
  <authors>
    <author>JL</author>
    <author>Jerome Le-Coz</author>
  </authors>
  <commentList>
    <comment ref="H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Le Coz Jérôme:
</t>
        </r>
        <r>
          <rPr>
            <sz val="9"/>
            <color rgb="FF000000"/>
            <rFont val="Tahoma"/>
            <family val="2"/>
            <charset val="1"/>
          </rPr>
          <t>equals 0.641 according to Pike et al. (2016)</t>
        </r>
      </text>
    </comment>
    <comment ref="I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Le Coz Jérôme:
</t>
        </r>
        <r>
          <rPr>
            <sz val="9"/>
            <color rgb="FF000000"/>
            <rFont val="Tahoma"/>
            <family val="2"/>
            <charset val="1"/>
          </rPr>
          <t>Equals -0.019  according to Pike et al. (2016)</t>
        </r>
      </text>
    </comment>
    <comment ref="A10" authorId="0" shapeId="0">
      <text>
        <r>
          <rPr>
            <sz val="11"/>
            <color rgb="FF000000"/>
            <rFont val="Calibri"/>
            <family val="2"/>
            <charset val="1"/>
          </rPr>
          <t xml:space="preserve">Jérôme Le Coz:
</t>
        </r>
        <r>
          <rPr>
            <sz val="9"/>
            <color rgb="FF000000"/>
            <rFont val="Tahoma"/>
            <family val="2"/>
          </rPr>
          <t>mention the time zone</t>
        </r>
      </text>
    </comment>
    <comment ref="D10" authorId="0" shapeId="0">
      <text>
        <r>
          <rPr>
            <sz val="11"/>
            <color rgb="FF000000"/>
            <rFont val="Calibri"/>
            <family val="2"/>
            <charset val="1"/>
          </rPr>
          <t xml:space="preserve">Jérôme Le Coz:
</t>
        </r>
        <r>
          <rPr>
            <sz val="9"/>
            <color rgb="FF000000"/>
            <rFont val="Tahoma"/>
            <family val="2"/>
          </rPr>
          <t>mention the time zone</t>
        </r>
      </text>
    </comment>
    <comment ref="D15" authorId="0" shapeId="0">
      <text>
        <r>
          <rPr>
            <sz val="11"/>
            <color rgb="FF000000"/>
            <rFont val="Calibri"/>
            <family val="2"/>
            <charset val="1"/>
          </rPr>
          <t xml:space="preserve">Jérôme Le Coz:
</t>
        </r>
        <r>
          <rPr>
            <sz val="9"/>
            <color rgb="FF000000"/>
            <rFont val="Tahoma"/>
            <family val="2"/>
            <charset val="1"/>
          </rPr>
          <t>Don't give values for start and end verticals</t>
        </r>
      </text>
    </comment>
    <comment ref="E15" authorId="0" shapeId="0">
      <text>
        <r>
          <rPr>
            <sz val="11"/>
            <color rgb="FF000000"/>
            <rFont val="Calibri"/>
            <family val="2"/>
            <charset val="1"/>
          </rPr>
          <t xml:space="preserve">Jérôme Le Coz:
</t>
        </r>
        <r>
          <rPr>
            <sz val="9"/>
            <color rgb="FF000000"/>
            <rFont val="Tahoma"/>
            <family val="2"/>
            <charset val="1"/>
          </rPr>
          <t>Give values for start and end verticals only
Typical values: 0.67 (sloped, natural edge), 0.91 (smooth, concrete vertical wall), 0.86 (intermediate situations)</t>
        </r>
      </text>
    </comment>
    <comment ref="D17" authorId="1" shapeId="0">
      <text>
        <r>
          <rPr>
            <b/>
            <sz val="9"/>
            <color indexed="81"/>
            <rFont val="Tahoma"/>
            <family val="2"/>
          </rPr>
          <t>Jerome Le-Coz:</t>
        </r>
        <r>
          <rPr>
            <sz val="9"/>
            <color indexed="81"/>
            <rFont val="Tahoma"/>
            <family val="2"/>
          </rPr>
          <t xml:space="preserve">
Ne pas saisir de valeur de charge pour les verticales de rives. Saisir une valeur de coefficient de rive.</t>
        </r>
      </text>
    </comment>
  </commentList>
</comments>
</file>

<file path=xl/comments2.xml><?xml version="1.0" encoding="utf-8"?>
<comments xmlns="http://schemas.openxmlformats.org/spreadsheetml/2006/main">
  <authors>
    <author>JL</author>
    <author>Jerome Le-Coz</author>
  </authors>
  <commentList>
    <comment ref="H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Le Coz Jérôme:
</t>
        </r>
        <r>
          <rPr>
            <sz val="9"/>
            <color rgb="FF000000"/>
            <rFont val="Tahoma"/>
            <family val="2"/>
            <charset val="1"/>
          </rPr>
          <t>Vaut 0.641 selon Pike et al. (2016)</t>
        </r>
      </text>
    </comment>
    <comment ref="I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Le Coz Jérôme:
</t>
        </r>
        <r>
          <rPr>
            <sz val="9"/>
            <color rgb="FF000000"/>
            <rFont val="Tahoma"/>
            <family val="2"/>
            <charset val="1"/>
          </rPr>
          <t>Vaut -0.019 selon Pike et al. (2016)</t>
        </r>
      </text>
    </comment>
    <comment ref="A10" authorId="0" shapeId="0">
      <text>
        <r>
          <rPr>
            <sz val="11"/>
            <color rgb="FF000000"/>
            <rFont val="Calibri"/>
            <family val="2"/>
            <charset val="1"/>
          </rPr>
          <t xml:space="preserve">Jérôme Le Coz:
</t>
        </r>
        <r>
          <rPr>
            <sz val="9"/>
            <color rgb="FF000000"/>
            <rFont val="Tahoma"/>
            <family val="2"/>
          </rPr>
          <t>préciser le fuseau horaire</t>
        </r>
      </text>
    </comment>
    <comment ref="D10" authorId="0" shapeId="0">
      <text>
        <r>
          <rPr>
            <sz val="11"/>
            <color rgb="FF000000"/>
            <rFont val="Calibri"/>
            <family val="2"/>
            <charset val="1"/>
          </rPr>
          <t xml:space="preserve">Jérôme Le Coz:
</t>
        </r>
        <r>
          <rPr>
            <sz val="9"/>
            <color rgb="FF000000"/>
            <rFont val="Tahoma"/>
            <family val="2"/>
          </rPr>
          <t>préciser le fuseau horaire</t>
        </r>
      </text>
    </comment>
    <comment ref="D15" authorId="0" shapeId="0">
      <text>
        <r>
          <rPr>
            <sz val="11"/>
            <color rgb="FF000000"/>
            <rFont val="Calibri"/>
            <family val="2"/>
            <charset val="1"/>
          </rPr>
          <t xml:space="preserve">Jérôme Le Coz:
</t>
        </r>
        <r>
          <rPr>
            <sz val="9"/>
            <color rgb="FF000000"/>
            <rFont val="Tahoma"/>
            <family val="2"/>
            <charset val="1"/>
          </rPr>
          <t>Ne pas saisir de valeurs pour les verticales de début et de fin</t>
        </r>
      </text>
    </comment>
    <comment ref="E15" authorId="0" shapeId="0">
      <text>
        <r>
          <rPr>
            <sz val="11"/>
            <color rgb="FF000000"/>
            <rFont val="Calibri"/>
            <family val="2"/>
            <charset val="1"/>
          </rPr>
          <t xml:space="preserve">Jérôme Le Coz:
</t>
        </r>
        <r>
          <rPr>
            <sz val="9"/>
            <color rgb="FF000000"/>
            <rFont val="Tahoma"/>
            <family val="2"/>
            <charset val="1"/>
          </rPr>
          <t>Donner des valeurs seulement pour les verticales de début et de fin
Valeurs typiques : 0.67 (berge inclinée naturelle), 0.91 (paroi verticale lisse, béton), 0.86 (situations intermédiaires)</t>
        </r>
      </text>
    </comment>
    <comment ref="D17" authorId="1" shapeId="0">
      <text>
        <r>
          <rPr>
            <b/>
            <sz val="9"/>
            <color indexed="81"/>
            <rFont val="Tahoma"/>
            <family val="2"/>
          </rPr>
          <t>Jerome Le-Coz:</t>
        </r>
        <r>
          <rPr>
            <sz val="9"/>
            <color indexed="81"/>
            <rFont val="Tahoma"/>
            <family val="2"/>
          </rPr>
          <t xml:space="preserve">
Ne pas saisir de valeur de charge pour les verticales de rives. Saisir une valeur de coefficient de rive.</t>
        </r>
      </text>
    </comment>
  </commentList>
</comments>
</file>

<file path=xl/comments3.xml><?xml version="1.0" encoding="utf-8"?>
<comments xmlns="http://schemas.openxmlformats.org/spreadsheetml/2006/main">
  <authors>
    <author>JL</author>
    <author>Jerome Le-Coz</author>
  </authors>
  <commentList>
    <comment ref="H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Le Coz Jérôme:
</t>
        </r>
        <r>
          <rPr>
            <sz val="9"/>
            <color rgb="FF000000"/>
            <rFont val="Tahoma"/>
            <family val="2"/>
            <charset val="1"/>
          </rPr>
          <t>equals 0.641 according to Pike et al. (2016)</t>
        </r>
      </text>
    </comment>
    <comment ref="I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Le Coz Jérôme:
</t>
        </r>
        <r>
          <rPr>
            <sz val="9"/>
            <color rgb="FF000000"/>
            <rFont val="Tahoma"/>
            <family val="2"/>
            <charset val="1"/>
          </rPr>
          <t>Equals -0.019  according to Pike et al. (2016)</t>
        </r>
      </text>
    </comment>
    <comment ref="A10" authorId="0" shapeId="0">
      <text>
        <r>
          <rPr>
            <sz val="11"/>
            <color rgb="FF000000"/>
            <rFont val="Calibri"/>
            <family val="2"/>
            <charset val="1"/>
          </rPr>
          <t xml:space="preserve">Jérôme Le Coz:
</t>
        </r>
        <r>
          <rPr>
            <sz val="9"/>
            <color rgb="FF000000"/>
            <rFont val="Tahoma"/>
            <family val="2"/>
          </rPr>
          <t>mention the time zone</t>
        </r>
      </text>
    </comment>
    <comment ref="D10" authorId="0" shapeId="0">
      <text>
        <r>
          <rPr>
            <sz val="11"/>
            <color rgb="FF000000"/>
            <rFont val="Calibri"/>
            <family val="2"/>
            <charset val="1"/>
          </rPr>
          <t xml:space="preserve">Jérôme Le Coz:
</t>
        </r>
        <r>
          <rPr>
            <sz val="9"/>
            <color rgb="FF000000"/>
            <rFont val="Tahoma"/>
            <family val="2"/>
          </rPr>
          <t>mention the time zone</t>
        </r>
      </text>
    </comment>
    <comment ref="D15" authorId="0" shapeId="0">
      <text>
        <r>
          <rPr>
            <sz val="11"/>
            <color rgb="FF000000"/>
            <rFont val="Calibri"/>
            <family val="2"/>
            <charset val="1"/>
          </rPr>
          <t xml:space="preserve">Jérôme Le Coz:
</t>
        </r>
        <r>
          <rPr>
            <sz val="9"/>
            <color rgb="FF000000"/>
            <rFont val="Tahoma"/>
            <family val="2"/>
            <charset val="1"/>
          </rPr>
          <t>Don't give values for start and end verticals</t>
        </r>
      </text>
    </comment>
    <comment ref="E15" authorId="0" shapeId="0">
      <text>
        <r>
          <rPr>
            <sz val="11"/>
            <color rgb="FF000000"/>
            <rFont val="Calibri"/>
            <family val="2"/>
            <charset val="1"/>
          </rPr>
          <t xml:space="preserve">Jérôme Le Coz:
</t>
        </r>
        <r>
          <rPr>
            <sz val="9"/>
            <color rgb="FF000000"/>
            <rFont val="Tahoma"/>
            <family val="2"/>
            <charset val="1"/>
          </rPr>
          <t>Give values for start and end verticals only
Typical values: 0.67 (sloped, natural edge), 0.91 (smooth, concrete vertical wall), 0.86 (intermediate situations)</t>
        </r>
      </text>
    </comment>
    <comment ref="D17" authorId="1" shapeId="0">
      <text>
        <r>
          <rPr>
            <b/>
            <sz val="9"/>
            <color indexed="81"/>
            <rFont val="Tahoma"/>
            <family val="2"/>
          </rPr>
          <t>Jerome Le-Coz:</t>
        </r>
        <r>
          <rPr>
            <sz val="9"/>
            <color indexed="81"/>
            <rFont val="Tahoma"/>
            <family val="2"/>
          </rPr>
          <t xml:space="preserve">
Don't enter velocity-head for start and end verticals, enter the edge coefficient instead.</t>
        </r>
      </text>
    </comment>
  </commentList>
</comments>
</file>

<file path=xl/comments4.xml><?xml version="1.0" encoding="utf-8"?>
<comments xmlns="http://schemas.openxmlformats.org/spreadsheetml/2006/main">
  <authors>
    <author>JL</author>
    <author>Jerome Le-Coz</author>
  </authors>
  <commentList>
    <comment ref="H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Le Coz Jérôme:
</t>
        </r>
        <r>
          <rPr>
            <sz val="9"/>
            <color rgb="FF000000"/>
            <rFont val="Tahoma"/>
            <family val="2"/>
            <charset val="1"/>
          </rPr>
          <t>Vaut 0.641 selon Pike et al. (2016)</t>
        </r>
      </text>
    </comment>
    <comment ref="I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Le Coz Jérôme:
</t>
        </r>
        <r>
          <rPr>
            <sz val="9"/>
            <color rgb="FF000000"/>
            <rFont val="Tahoma"/>
            <family val="2"/>
            <charset val="1"/>
          </rPr>
          <t>Vaut -0.019 selon Pike et al. (2016)</t>
        </r>
      </text>
    </comment>
    <comment ref="A10" authorId="0" shapeId="0">
      <text>
        <r>
          <rPr>
            <sz val="11"/>
            <color rgb="FF000000"/>
            <rFont val="Calibri"/>
            <family val="2"/>
            <charset val="1"/>
          </rPr>
          <t xml:space="preserve">Jérôme Le Coz:
</t>
        </r>
        <r>
          <rPr>
            <sz val="9"/>
            <color rgb="FF000000"/>
            <rFont val="Tahoma"/>
            <family val="2"/>
          </rPr>
          <t>préciser le fuseau horaire</t>
        </r>
      </text>
    </comment>
    <comment ref="D10" authorId="0" shapeId="0">
      <text>
        <r>
          <rPr>
            <sz val="11"/>
            <color rgb="FF000000"/>
            <rFont val="Calibri"/>
            <family val="2"/>
            <charset val="1"/>
          </rPr>
          <t xml:space="preserve">Jérôme Le Coz:
</t>
        </r>
        <r>
          <rPr>
            <sz val="9"/>
            <color rgb="FF000000"/>
            <rFont val="Tahoma"/>
            <family val="2"/>
          </rPr>
          <t>préciser le fuseau horaire</t>
        </r>
      </text>
    </comment>
    <comment ref="D15" authorId="0" shapeId="0">
      <text>
        <r>
          <rPr>
            <sz val="11"/>
            <color rgb="FF000000"/>
            <rFont val="Calibri"/>
            <family val="2"/>
            <charset val="1"/>
          </rPr>
          <t xml:space="preserve">Jérôme Le Coz:
</t>
        </r>
        <r>
          <rPr>
            <sz val="9"/>
            <color rgb="FF000000"/>
            <rFont val="Tahoma"/>
            <family val="2"/>
            <charset val="1"/>
          </rPr>
          <t>Ne pas saisir de valeurs pour les verticales de début et de fin</t>
        </r>
      </text>
    </comment>
    <comment ref="E15" authorId="0" shapeId="0">
      <text>
        <r>
          <rPr>
            <sz val="11"/>
            <color rgb="FF000000"/>
            <rFont val="Calibri"/>
            <family val="2"/>
            <charset val="1"/>
          </rPr>
          <t xml:space="preserve">Jérôme Le Coz:
</t>
        </r>
        <r>
          <rPr>
            <sz val="9"/>
            <color rgb="FF000000"/>
            <rFont val="Tahoma"/>
            <family val="2"/>
            <charset val="1"/>
          </rPr>
          <t>Donner des valeurs seulement pour les verticales de début et de fin
Valeurs typiques : 0.67 (berge inclinée naturelle), 0.91 (paroi verticale lisse, béton), 0.86 (situations intermédiaires)</t>
        </r>
      </text>
    </comment>
    <comment ref="D17" authorId="1" shapeId="0">
      <text>
        <r>
          <rPr>
            <b/>
            <sz val="9"/>
            <color indexed="81"/>
            <rFont val="Tahoma"/>
            <family val="2"/>
          </rPr>
          <t>Jerome Le-Coz:</t>
        </r>
        <r>
          <rPr>
            <sz val="9"/>
            <color indexed="81"/>
            <rFont val="Tahoma"/>
            <family val="2"/>
          </rPr>
          <t xml:space="preserve">
Ne pas saisir de valeur de charge pour les verticales de rives. Saisir une valeur de coefficient de rive.</t>
        </r>
      </text>
    </comment>
  </commentList>
</comments>
</file>

<file path=xl/sharedStrings.xml><?xml version="1.0" encoding="utf-8"?>
<sst xmlns="http://schemas.openxmlformats.org/spreadsheetml/2006/main" count="578" uniqueCount="180">
  <si>
    <t>Operators:</t>
  </si>
  <si>
    <t>Date:</t>
  </si>
  <si>
    <t>a</t>
  </si>
  <si>
    <t>b</t>
  </si>
  <si>
    <t>Stream Name:</t>
  </si>
  <si>
    <t>Site Name:</t>
  </si>
  <si>
    <t>Results</t>
  </si>
  <si>
    <t>Rod ID:</t>
  </si>
  <si>
    <t>Start Bank (Left/Right):</t>
  </si>
  <si>
    <t>Discharge (m3/s)</t>
  </si>
  <si>
    <t>Area (m²)</t>
  </si>
  <si>
    <t>Mean velocity (m/s)</t>
  </si>
  <si>
    <t xml:space="preserve">START Time:                          </t>
  </si>
  <si>
    <t xml:space="preserve">END Time:                                           </t>
  </si>
  <si>
    <t>Vertical</t>
  </si>
  <si>
    <r>
      <rPr>
        <b/>
        <sz val="14"/>
        <color rgb="FF000000"/>
        <rFont val="Calibri"/>
        <family val="2"/>
        <charset val="1"/>
      </rPr>
      <t xml:space="preserve">Position </t>
    </r>
    <r>
      <rPr>
        <b/>
        <sz val="14"/>
        <color rgb="FFFF0000"/>
        <rFont val="Calibri"/>
        <family val="2"/>
        <charset val="1"/>
      </rPr>
      <t>(m)</t>
    </r>
  </si>
  <si>
    <r>
      <rPr>
        <b/>
        <sz val="14"/>
        <color rgb="FF000000"/>
        <rFont val="Calibri"/>
        <family val="2"/>
        <charset val="1"/>
      </rPr>
      <t xml:space="preserve">Flow depth </t>
    </r>
    <r>
      <rPr>
        <b/>
        <sz val="14"/>
        <color rgb="FFFF0000"/>
        <rFont val="Calibri"/>
        <family val="2"/>
        <charset val="1"/>
      </rPr>
      <t>(cm)</t>
    </r>
  </si>
  <si>
    <r>
      <rPr>
        <b/>
        <sz val="14"/>
        <color rgb="FF000000"/>
        <rFont val="Calibri"/>
        <family val="2"/>
        <charset val="1"/>
      </rPr>
      <t xml:space="preserve">Velocity head </t>
    </r>
    <r>
      <rPr>
        <b/>
        <sz val="14"/>
        <color rgb="FFFF0000"/>
        <rFont val="Calibri"/>
        <family val="2"/>
        <charset val="1"/>
      </rPr>
      <t>(mm)</t>
    </r>
  </si>
  <si>
    <t>Edge coefficient</t>
  </si>
  <si>
    <t>Observations</t>
  </si>
  <si>
    <t>discharge per unit width (m²/s)</t>
  </si>
  <si>
    <t>area (m²)</t>
  </si>
  <si>
    <t>discharge (m3/s)</t>
  </si>
  <si>
    <t>start edge velocity extrapolation</t>
  </si>
  <si>
    <t>end edge velocity extrapolation</t>
  </si>
  <si>
    <t>Depths</t>
  </si>
  <si>
    <t>Cours d'eau :</t>
  </si>
  <si>
    <t>Résultats</t>
  </si>
  <si>
    <t>N° perche :</t>
  </si>
  <si>
    <t>Berge de départ (G/D) :</t>
  </si>
  <si>
    <t>Débit (m3/s)</t>
  </si>
  <si>
    <t xml:space="preserve">Heure DEBUT :                          </t>
  </si>
  <si>
    <t xml:space="preserve">Heure FIN :                                           </t>
  </si>
  <si>
    <t>Verticale</t>
  </si>
  <si>
    <r>
      <rPr>
        <b/>
        <sz val="14"/>
        <color rgb="FF000000"/>
        <rFont val="Calibri"/>
        <family val="2"/>
        <charset val="1"/>
      </rPr>
      <t xml:space="preserve">Abscisse </t>
    </r>
    <r>
      <rPr>
        <b/>
        <sz val="14"/>
        <color rgb="FFFF0000"/>
        <rFont val="Calibri"/>
        <family val="2"/>
        <charset val="1"/>
      </rPr>
      <t>(m)</t>
    </r>
  </si>
  <si>
    <r>
      <rPr>
        <b/>
        <sz val="14"/>
        <color rgb="FF000000"/>
        <rFont val="Calibri"/>
        <family val="2"/>
        <charset val="1"/>
      </rPr>
      <t xml:space="preserve">Profondeur </t>
    </r>
    <r>
      <rPr>
        <b/>
        <sz val="14"/>
        <color rgb="FFFF0000"/>
        <rFont val="Calibri"/>
        <family val="2"/>
        <charset val="1"/>
      </rPr>
      <t>(cm)</t>
    </r>
  </si>
  <si>
    <r>
      <rPr>
        <b/>
        <sz val="14"/>
        <color rgb="FF000000"/>
        <rFont val="Calibri"/>
        <family val="2"/>
        <charset val="1"/>
      </rPr>
      <t xml:space="preserve">Charge dynamique </t>
    </r>
    <r>
      <rPr>
        <b/>
        <sz val="14"/>
        <color rgb="FFFF0000"/>
        <rFont val="Calibri"/>
        <family val="2"/>
        <charset val="1"/>
      </rPr>
      <t>(mm)</t>
    </r>
  </si>
  <si>
    <t>Coefficient de rive</t>
  </si>
  <si>
    <t>PU : débit par unité de largeur (m²/s)</t>
  </si>
  <si>
    <t>aire (m²)</t>
  </si>
  <si>
    <t>débit (m3/s)</t>
  </si>
  <si>
    <t>Débit (L/s)</t>
  </si>
  <si>
    <t>Racine(2gH) (m/s)</t>
  </si>
  <si>
    <t>Vitesse (m/s)</t>
  </si>
  <si>
    <t>Discharge (L/s)</t>
  </si>
  <si>
    <t>Measured to Total discharge ratio</t>
  </si>
  <si>
    <t>Correction des vitesses : Vitesse = a*Racine(2gH) + b</t>
  </si>
  <si>
    <t>Velocity rating: Velocity = a*SQRT(2gH) + b</t>
  </si>
  <si>
    <t>SQRT(2gH) (m/s)</t>
  </si>
  <si>
    <t>Velocity (m/s)</t>
  </si>
  <si>
    <t>% débit total</t>
  </si>
  <si>
    <t>Profondeur (m)</t>
  </si>
  <si>
    <t>% Q &lt;10%</t>
  </si>
  <si>
    <t>10&lt;%&lt;15</t>
  </si>
  <si>
    <t>% Q &gt; 15%</t>
  </si>
  <si>
    <t>abscissa</t>
  </si>
  <si>
    <t>Extrapolation aux rives</t>
  </si>
  <si>
    <t>Edge extrapolation</t>
  </si>
  <si>
    <t>Depth (m)</t>
  </si>
  <si>
    <t>% of total discharge</t>
  </si>
  <si>
    <t>Opérateurs :</t>
  </si>
  <si>
    <t xml:space="preserve">Niveau d'eau DEBUT (cm) :  </t>
  </si>
  <si>
    <t xml:space="preserve">Niveau d'eau FIN (cm) : </t>
  </si>
  <si>
    <t xml:space="preserve">START Water Level (cm):  </t>
  </si>
  <si>
    <t xml:space="preserve">END Water Level (cm): </t>
  </si>
  <si>
    <t>Uncertainty settings</t>
  </si>
  <si>
    <t>u_B</t>
  </si>
  <si>
    <t>m</t>
  </si>
  <si>
    <t>u'_s</t>
  </si>
  <si>
    <t>u_D</t>
  </si>
  <si>
    <t>u_edge</t>
  </si>
  <si>
    <t>q</t>
  </si>
  <si>
    <t>Dq</t>
  </si>
  <si>
    <t>Dx</t>
  </si>
  <si>
    <t>DxDq</t>
  </si>
  <si>
    <t>delta</t>
  </si>
  <si>
    <t>gamma</t>
  </si>
  <si>
    <t>m-1/2</t>
  </si>
  <si>
    <t>Qi</t>
  </si>
  <si>
    <t>u'_D</t>
  </si>
  <si>
    <t>u'_B</t>
  </si>
  <si>
    <t>u'²_Qi</t>
  </si>
  <si>
    <t>total</t>
  </si>
  <si>
    <t>u'²_Qi_B</t>
  </si>
  <si>
    <t>u'²_Qi_D</t>
  </si>
  <si>
    <t>u'²_Qi_rating</t>
  </si>
  <si>
    <t>systematic</t>
  </si>
  <si>
    <t>velocity-head reading</t>
  </si>
  <si>
    <t>edge coefficients</t>
  </si>
  <si>
    <t>width measurement</t>
  </si>
  <si>
    <t>depth measurement</t>
  </si>
  <si>
    <t>st dev q</t>
  </si>
  <si>
    <t>st dev Dq</t>
  </si>
  <si>
    <t>Sum DxDq</t>
  </si>
  <si>
    <t>Velocity</t>
  </si>
  <si>
    <t>Partial discharge (%)</t>
  </si>
  <si>
    <t>lateral integration</t>
  </si>
  <si>
    <t>La Liepvrette</t>
  </si>
  <si>
    <t>Right</t>
  </si>
  <si>
    <t>Clément, Maxime</t>
  </si>
  <si>
    <t>D</t>
  </si>
  <si>
    <t>Site :</t>
  </si>
  <si>
    <t>Date :</t>
  </si>
  <si>
    <t>Discharge uncertainty</t>
  </si>
  <si>
    <t>u'm_Di (Q+)</t>
  </si>
  <si>
    <t>u'm_Vi (Q+)</t>
  </si>
  <si>
    <t>alpha (Q+)</t>
  </si>
  <si>
    <t>°</t>
  </si>
  <si>
    <t>u'm_Di (Q+, simplifié)</t>
  </si>
  <si>
    <t>di-min</t>
  </si>
  <si>
    <t>di+min</t>
  </si>
  <si>
    <t>di-max</t>
  </si>
  <si>
    <t>di+max</t>
  </si>
  <si>
    <t>vi-min</t>
  </si>
  <si>
    <t>vi+min</t>
  </si>
  <si>
    <t>vi-max</t>
  </si>
  <si>
    <t>vi+max</t>
  </si>
  <si>
    <t>Q+ uncertainty</t>
  </si>
  <si>
    <t>u²_Qi</t>
  </si>
  <si>
    <t>Q+</t>
  </si>
  <si>
    <t>depth lateral integration</t>
  </si>
  <si>
    <t>velocity lateral integration</t>
  </si>
  <si>
    <t>Flaure</t>
  </si>
  <si>
    <t>U</t>
  </si>
  <si>
    <t>Flaure uncertainty budget (Despax et al., 2016)</t>
  </si>
  <si>
    <t>Q+ Uncertainty budget (Le Coz et al., 2012)</t>
  </si>
  <si>
    <t>alpha_i</t>
  </si>
  <si>
    <t>Qi*alpha_i</t>
  </si>
  <si>
    <t>SQI (Flaure)</t>
  </si>
  <si>
    <t>u'm (Flaure)</t>
  </si>
  <si>
    <t>mean</t>
  </si>
  <si>
    <t>max</t>
  </si>
  <si>
    <t>u'²_Qj_reading</t>
  </si>
  <si>
    <t>u'_V_rating</t>
  </si>
  <si>
    <t>u'_V_reading</t>
  </si>
  <si>
    <t>u'²_Qj_edge</t>
  </si>
  <si>
    <t>check</t>
  </si>
  <si>
    <t>u'²_Qi_m_Di</t>
  </si>
  <si>
    <t>u'²_Qi_m_Vi</t>
  </si>
  <si>
    <t>ISO748</t>
  </si>
  <si>
    <t>Nb of verticals</t>
  </si>
  <si>
    <t>u'm (ISO748)</t>
  </si>
  <si>
    <t>um (Q+)</t>
  </si>
  <si>
    <t>ISO748 uncertainty budget</t>
  </si>
  <si>
    <t>Uncertainty results</t>
  </si>
  <si>
    <t>Surface  (m²)</t>
  </si>
  <si>
    <t>Nb de verticales</t>
  </si>
  <si>
    <t>Proportion de débit mesuré</t>
  </si>
  <si>
    <t>Incertitude de débit</t>
  </si>
  <si>
    <t>Paramètres incertitude</t>
  </si>
  <si>
    <t>Résultats incertitudes</t>
  </si>
  <si>
    <t>Bilan d'incertitude Q+ (Le Coz et al., 2012)</t>
  </si>
  <si>
    <t>Bilan d'incertitude ISO748</t>
  </si>
  <si>
    <t>Bilan d'incertitude Flaure (Despax et al., 2016)</t>
  </si>
  <si>
    <t>erreurs systématiques</t>
  </si>
  <si>
    <t>mesures de largeur</t>
  </si>
  <si>
    <t>mesures de profondeur</t>
  </si>
  <si>
    <t>lecture de la charge</t>
  </si>
  <si>
    <t>Coefficients de rives</t>
  </si>
  <si>
    <t>Intégration latérale</t>
  </si>
  <si>
    <t>Intégration latérale (profondeurs)</t>
  </si>
  <si>
    <t>Integration latérale (vitesses)</t>
  </si>
  <si>
    <t>Incertitude Q+</t>
  </si>
  <si>
    <t>08:20 UTC+2</t>
  </si>
  <si>
    <t>08:30 UTC+2</t>
  </si>
  <si>
    <t>08:30  UTC+2</t>
  </si>
  <si>
    <t>Liepvreville</t>
  </si>
  <si>
    <t>Qj_edge</t>
  </si>
  <si>
    <t>Draw rectangles used for discharge computation</t>
  </si>
  <si>
    <t>x</t>
  </si>
  <si>
    <t>z</t>
  </si>
  <si>
    <t>Panels</t>
  </si>
  <si>
    <t>Sous-sections</t>
  </si>
  <si>
    <t>Rectangles pour calcul du débit</t>
  </si>
  <si>
    <t>Streamgauging ruler measurement</t>
  </si>
  <si>
    <t>Jaugeage à la règle à jauger</t>
  </si>
  <si>
    <t xml:space="preserve">Débit Q = </t>
  </si>
  <si>
    <t xml:space="preserve">Discharge Q = </t>
  </si>
  <si>
    <t>EXEMPLE</t>
  </si>
  <si>
    <t>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</si>
</sst>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0.0000"/>
    <numFmt numFmtId="166" formatCode="0\ %"/>
    <numFmt numFmtId="167" formatCode="0.0\ %"/>
    <numFmt numFmtId="168" formatCode="0.000000000"/>
    <numFmt numFmtId="169" formatCode="0.0"/>
    <numFmt numFmtId="170" formatCode="_-* #,##0.00_-;\-* #,##0.00_-;_-* \-??_-;_-@_-"/>
    <numFmt numFmtId="171" formatCode="0.0000000"/>
  </numFmts>
  <fonts count="36" x14ac:knownFonts="1">
    <font>
      <sz val="11"/>
      <color rgb="FF000000"/>
      <name val="Calibri"/>
      <family val="2"/>
      <charset val="1"/>
    </font>
    <font>
      <b/>
      <sz val="14"/>
      <color rgb="FF000000"/>
      <name val="Arial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b/>
      <sz val="14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808080"/>
      <name val="Calibri"/>
      <family val="2"/>
      <charset val="1"/>
    </font>
    <font>
      <sz val="11"/>
      <color rgb="FF808080"/>
      <name val="Calibri"/>
      <family val="2"/>
      <charset val="1"/>
    </font>
    <font>
      <sz val="9"/>
      <color rgb="FF000000"/>
      <name val="Tahoma"/>
      <family val="2"/>
    </font>
    <font>
      <sz val="9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theme="0" tint="-0.499984740745262"/>
      <name val="Calibri"/>
      <family val="2"/>
      <charset val="1"/>
    </font>
    <font>
      <b/>
      <sz val="11"/>
      <color theme="0" tint="-0.499984740745262"/>
      <name val="Calibri"/>
      <family val="2"/>
      <charset val="1"/>
    </font>
    <font>
      <sz val="16"/>
      <color rgb="FF000000"/>
      <name val="Arial"/>
      <family val="2"/>
    </font>
    <font>
      <b/>
      <sz val="14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theme="0" tint="-0.499984740745262"/>
      <name val="Calibri"/>
      <family val="2"/>
    </font>
    <font>
      <sz val="11"/>
      <color rgb="FFFF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color rgb="FFFF0000"/>
      <name val="Calibri"/>
      <family val="2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00B0F0"/>
      <name val="Calibri"/>
      <family val="2"/>
      <charset val="1"/>
    </font>
    <font>
      <b/>
      <sz val="11"/>
      <color rgb="FF00B0F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name val="Calibri"/>
      <family val="2"/>
    </font>
    <font>
      <sz val="11"/>
      <color rgb="FF00B050"/>
      <name val="Calibri"/>
      <family val="2"/>
      <charset val="1"/>
    </font>
    <font>
      <b/>
      <sz val="11"/>
      <color rgb="FF00B050"/>
      <name val="Calibri"/>
      <family val="2"/>
    </font>
    <font>
      <b/>
      <sz val="11"/>
      <color theme="0" tint="-0.499984740745262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rgb="FF000000"/>
      <name val="Arial"/>
      <family val="2"/>
    </font>
    <font>
      <b/>
      <sz val="16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BEEF4"/>
        <bgColor rgb="FFEBF1DE"/>
      </patternFill>
    </fill>
    <fill>
      <patternFill patternType="solid">
        <fgColor rgb="FFEBF1DE"/>
        <bgColor rgb="FFFDEADA"/>
      </patternFill>
    </fill>
    <fill>
      <patternFill patternType="solid">
        <fgColor rgb="FFE6E0EC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rgb="FFEBF1DE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0" borderId="0"/>
    <xf numFmtId="166" fontId="11" fillId="0" borderId="0" applyBorder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Border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255">
    <xf numFmtId="0" fontId="0" fillId="0" borderId="0" xfId="0"/>
    <xf numFmtId="0" fontId="2" fillId="0" borderId="0" xfId="0" applyFont="1" applyAlignment="1" applyProtection="1">
      <alignment wrapText="1"/>
    </xf>
    <xf numFmtId="0" fontId="3" fillId="0" borderId="0" xfId="2" applyNumberFormat="1" applyFont="1"/>
    <xf numFmtId="166" fontId="11" fillId="0" borderId="0" xfId="1"/>
    <xf numFmtId="0" fontId="12" fillId="0" borderId="0" xfId="1" applyNumberFormat="1" applyFont="1"/>
    <xf numFmtId="0" fontId="17" fillId="0" borderId="0" xfId="0" applyFont="1" applyAlignment="1">
      <alignment wrapText="1"/>
    </xf>
    <xf numFmtId="164" fontId="12" fillId="0" borderId="0" xfId="1" applyNumberFormat="1" applyFont="1"/>
    <xf numFmtId="0" fontId="18" fillId="0" borderId="0" xfId="0" applyFont="1" applyProtection="1"/>
    <xf numFmtId="0" fontId="19" fillId="0" borderId="0" xfId="0" applyFont="1" applyAlignment="1">
      <alignment wrapText="1"/>
    </xf>
    <xf numFmtId="0" fontId="18" fillId="0" borderId="0" xfId="0" applyFont="1"/>
    <xf numFmtId="166" fontId="18" fillId="0" borderId="0" xfId="1" applyNumberFormat="1" applyFont="1"/>
    <xf numFmtId="0" fontId="21" fillId="0" borderId="0" xfId="0" applyFont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167" fontId="11" fillId="0" borderId="0" xfId="1" applyNumberFormat="1"/>
    <xf numFmtId="166" fontId="18" fillId="0" borderId="0" xfId="0" applyNumberFormat="1" applyFont="1"/>
    <xf numFmtId="0" fontId="2" fillId="0" borderId="0" xfId="0" applyFont="1" applyFill="1"/>
    <xf numFmtId="0" fontId="3" fillId="0" borderId="0" xfId="0" applyFont="1" applyFill="1"/>
    <xf numFmtId="0" fontId="23" fillId="0" borderId="0" xfId="0" applyFont="1"/>
    <xf numFmtId="0" fontId="23" fillId="0" borderId="0" xfId="0" applyFont="1" applyAlignment="1">
      <alignment horizontal="center"/>
    </xf>
    <xf numFmtId="166" fontId="23" fillId="0" borderId="0" xfId="1" applyNumberFormat="1" applyFont="1"/>
    <xf numFmtId="166" fontId="23" fillId="0" borderId="0" xfId="1" applyFont="1"/>
    <xf numFmtId="166" fontId="23" fillId="0" borderId="0" xfId="0" applyNumberFormat="1" applyFont="1"/>
    <xf numFmtId="0" fontId="23" fillId="0" borderId="0" xfId="0" applyFont="1" applyAlignment="1"/>
    <xf numFmtId="169" fontId="0" fillId="0" borderId="0" xfId="0" applyNumberFormat="1" applyProtection="1"/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3" fillId="0" borderId="0" xfId="0" applyNumberFormat="1" applyFont="1"/>
    <xf numFmtId="165" fontId="3" fillId="0" borderId="0" xfId="0" applyNumberFormat="1" applyFont="1"/>
    <xf numFmtId="0" fontId="8" fillId="0" borderId="0" xfId="0" applyFont="1"/>
    <xf numFmtId="166" fontId="2" fillId="0" borderId="0" xfId="1" applyFont="1" applyBorder="1" applyAlignment="1" applyProtection="1"/>
    <xf numFmtId="0" fontId="0" fillId="0" borderId="0" xfId="0" applyProtection="1"/>
    <xf numFmtId="0" fontId="7" fillId="0" borderId="0" xfId="0" applyFont="1" applyAlignment="1" applyProtection="1">
      <alignment wrapText="1"/>
    </xf>
    <xf numFmtId="0" fontId="7" fillId="0" borderId="0" xfId="0" applyFont="1" applyAlignment="1" applyProtection="1"/>
    <xf numFmtId="0" fontId="8" fillId="0" borderId="0" xfId="0" applyFont="1" applyProtection="1"/>
    <xf numFmtId="164" fontId="8" fillId="0" borderId="0" xfId="0" applyNumberFormat="1" applyFont="1" applyProtection="1"/>
    <xf numFmtId="166" fontId="3" fillId="0" borderId="0" xfId="1" applyFont="1"/>
    <xf numFmtId="0" fontId="12" fillId="0" borderId="0" xfId="0" applyFont="1"/>
    <xf numFmtId="0" fontId="13" fillId="0" borderId="0" xfId="0" applyFont="1" applyAlignment="1">
      <alignment wrapText="1"/>
    </xf>
    <xf numFmtId="166" fontId="12" fillId="0" borderId="0" xfId="1" applyFont="1"/>
    <xf numFmtId="0" fontId="18" fillId="0" borderId="0" xfId="0" applyFont="1" applyAlignment="1">
      <alignment horizontal="center"/>
    </xf>
    <xf numFmtId="0" fontId="12" fillId="0" borderId="0" xfId="1" applyNumberFormat="1" applyFont="1" applyFill="1"/>
    <xf numFmtId="0" fontId="0" fillId="0" borderId="0" xfId="0" applyFill="1"/>
    <xf numFmtId="0" fontId="0" fillId="0" borderId="0" xfId="0" applyFill="1" applyProtection="1"/>
    <xf numFmtId="0" fontId="0" fillId="0" borderId="6" xfId="0" applyBorder="1" applyProtection="1"/>
    <xf numFmtId="166" fontId="15" fillId="0" borderId="8" xfId="1" applyFont="1" applyBorder="1" applyAlignment="1" applyProtection="1">
      <alignment horizontal="center"/>
    </xf>
    <xf numFmtId="0" fontId="26" fillId="0" borderId="0" xfId="0" applyFont="1" applyAlignment="1">
      <alignment wrapText="1"/>
    </xf>
    <xf numFmtId="0" fontId="27" fillId="0" borderId="0" xfId="0" applyFont="1"/>
    <xf numFmtId="0" fontId="28" fillId="0" borderId="0" xfId="0" applyFont="1" applyFill="1"/>
    <xf numFmtId="166" fontId="28" fillId="0" borderId="0" xfId="1" applyFont="1" applyFill="1"/>
    <xf numFmtId="0" fontId="28" fillId="0" borderId="0" xfId="0" applyFont="1" applyFill="1" applyProtection="1"/>
    <xf numFmtId="167" fontId="28" fillId="0" borderId="0" xfId="1" applyNumberFormat="1" applyFont="1" applyFill="1"/>
    <xf numFmtId="2" fontId="28" fillId="0" borderId="0" xfId="0" applyNumberFormat="1" applyFont="1" applyFill="1"/>
    <xf numFmtId="0" fontId="7" fillId="0" borderId="0" xfId="0" applyFont="1" applyFill="1" applyAlignment="1" applyProtection="1">
      <alignment wrapText="1"/>
    </xf>
    <xf numFmtId="0" fontId="8" fillId="0" borderId="0" xfId="0" applyFont="1" applyFill="1" applyProtection="1"/>
    <xf numFmtId="0" fontId="29" fillId="0" borderId="0" xfId="0" applyFont="1"/>
    <xf numFmtId="0" fontId="29" fillId="0" borderId="0" xfId="0" applyFont="1" applyAlignment="1">
      <alignment horizontal="center"/>
    </xf>
    <xf numFmtId="166" fontId="29" fillId="0" borderId="0" xfId="1" applyNumberFormat="1" applyFont="1"/>
    <xf numFmtId="166" fontId="29" fillId="0" borderId="0" xfId="1" applyFont="1"/>
    <xf numFmtId="166" fontId="29" fillId="0" borderId="0" xfId="0" applyNumberFormat="1" applyFont="1"/>
    <xf numFmtId="0" fontId="7" fillId="0" borderId="0" xfId="0" applyFont="1" applyFill="1" applyAlignment="1">
      <alignment wrapText="1"/>
    </xf>
    <xf numFmtId="0" fontId="8" fillId="0" borderId="0" xfId="0" applyFont="1" applyFill="1"/>
    <xf numFmtId="0" fontId="24" fillId="0" borderId="0" xfId="0" applyFont="1" applyAlignment="1"/>
    <xf numFmtId="0" fontId="6" fillId="0" borderId="0" xfId="0" applyFont="1" applyFill="1" applyAlignment="1">
      <alignment wrapText="1"/>
    </xf>
    <xf numFmtId="0" fontId="31" fillId="0" borderId="0" xfId="0" applyFont="1"/>
    <xf numFmtId="0" fontId="31" fillId="0" borderId="0" xfId="0" applyFont="1" applyAlignment="1">
      <alignment wrapText="1"/>
    </xf>
    <xf numFmtId="0" fontId="26" fillId="0" borderId="0" xfId="0" applyFont="1" applyAlignment="1" applyProtection="1">
      <alignment wrapText="1"/>
    </xf>
    <xf numFmtId="0" fontId="2" fillId="3" borderId="0" xfId="0" applyFont="1" applyFill="1" applyProtection="1"/>
    <xf numFmtId="0" fontId="2" fillId="0" borderId="0" xfId="0" applyFont="1" applyFill="1" applyProtection="1"/>
    <xf numFmtId="0" fontId="3" fillId="0" borderId="0" xfId="0" applyFont="1" applyProtection="1"/>
    <xf numFmtId="0" fontId="27" fillId="0" borderId="0" xfId="0" applyFont="1" applyProtection="1"/>
    <xf numFmtId="0" fontId="12" fillId="0" borderId="0" xfId="0" applyFont="1" applyProtection="1"/>
    <xf numFmtId="0" fontId="21" fillId="0" borderId="0" xfId="0" applyFont="1" applyProtection="1"/>
    <xf numFmtId="0" fontId="24" fillId="0" borderId="0" xfId="0" applyFont="1" applyAlignment="1" applyProtection="1"/>
    <xf numFmtId="0" fontId="23" fillId="0" borderId="0" xfId="0" applyFont="1" applyAlignment="1" applyProtection="1"/>
    <xf numFmtId="0" fontId="23" fillId="0" borderId="0" xfId="0" applyFont="1" applyProtection="1"/>
    <xf numFmtId="0" fontId="3" fillId="3" borderId="0" xfId="0" applyFont="1" applyFill="1" applyProtection="1"/>
    <xf numFmtId="0" fontId="3" fillId="0" borderId="0" xfId="0" applyFont="1" applyFill="1" applyProtection="1"/>
    <xf numFmtId="167" fontId="11" fillId="0" borderId="0" xfId="1" applyNumberFormat="1" applyProtection="1"/>
    <xf numFmtId="166" fontId="28" fillId="0" borderId="0" xfId="1" applyFont="1" applyFill="1" applyProtection="1"/>
    <xf numFmtId="0" fontId="18" fillId="0" borderId="0" xfId="0" applyFont="1" applyAlignment="1" applyProtection="1">
      <alignment horizontal="center"/>
    </xf>
    <xf numFmtId="0" fontId="29" fillId="0" borderId="0" xfId="0" applyFont="1" applyProtection="1"/>
    <xf numFmtId="0" fontId="29" fillId="0" borderId="0" xfId="0" applyFont="1" applyAlignment="1" applyProtection="1">
      <alignment horizontal="center"/>
    </xf>
    <xf numFmtId="0" fontId="31" fillId="0" borderId="0" xfId="0" applyFont="1" applyProtection="1"/>
    <xf numFmtId="0" fontId="23" fillId="0" borderId="0" xfId="0" applyFont="1" applyAlignment="1" applyProtection="1">
      <alignment horizontal="center"/>
    </xf>
    <xf numFmtId="166" fontId="18" fillId="0" borderId="0" xfId="1" applyNumberFormat="1" applyFont="1" applyProtection="1"/>
    <xf numFmtId="166" fontId="29" fillId="0" borderId="0" xfId="1" applyNumberFormat="1" applyFont="1" applyProtection="1"/>
    <xf numFmtId="166" fontId="23" fillId="0" borderId="0" xfId="1" applyNumberFormat="1" applyFont="1" applyProtection="1"/>
    <xf numFmtId="166" fontId="29" fillId="0" borderId="0" xfId="1" applyFont="1" applyProtection="1"/>
    <xf numFmtId="166" fontId="23" fillId="0" borderId="0" xfId="1" applyFont="1" applyProtection="1"/>
    <xf numFmtId="166" fontId="11" fillId="0" borderId="0" xfId="1" applyProtection="1"/>
    <xf numFmtId="164" fontId="2" fillId="0" borderId="5" xfId="0" applyNumberFormat="1" applyFont="1" applyBorder="1" applyAlignment="1" applyProtection="1">
      <alignment horizontal="center"/>
    </xf>
    <xf numFmtId="168" fontId="0" fillId="0" borderId="5" xfId="0" applyNumberFormat="1" applyBorder="1" applyProtection="1"/>
    <xf numFmtId="0" fontId="0" fillId="0" borderId="0" xfId="0" applyBorder="1" applyProtection="1"/>
    <xf numFmtId="167" fontId="28" fillId="0" borderId="0" xfId="1" applyNumberFormat="1" applyFont="1" applyFill="1" applyProtection="1"/>
    <xf numFmtId="169" fontId="2" fillId="0" borderId="7" xfId="0" applyNumberFormat="1" applyFont="1" applyBorder="1" applyAlignment="1" applyProtection="1">
      <alignment horizontal="center"/>
    </xf>
    <xf numFmtId="0" fontId="0" fillId="0" borderId="9" xfId="0" applyBorder="1" applyProtection="1"/>
    <xf numFmtId="2" fontId="28" fillId="0" borderId="0" xfId="0" applyNumberFormat="1" applyFont="1" applyFill="1" applyProtection="1"/>
    <xf numFmtId="166" fontId="18" fillId="0" borderId="0" xfId="0" applyNumberFormat="1" applyFont="1" applyProtection="1"/>
    <xf numFmtId="166" fontId="29" fillId="0" borderId="0" xfId="0" applyNumberFormat="1" applyFont="1" applyProtection="1"/>
    <xf numFmtId="0" fontId="19" fillId="0" borderId="0" xfId="0" applyFont="1" applyAlignment="1" applyProtection="1">
      <alignment wrapText="1"/>
    </xf>
    <xf numFmtId="0" fontId="31" fillId="0" borderId="0" xfId="0" applyFont="1" applyAlignment="1" applyProtection="1">
      <alignment wrapText="1"/>
    </xf>
    <xf numFmtId="166" fontId="23" fillId="0" borderId="0" xfId="0" applyNumberFormat="1" applyFont="1" applyProtection="1"/>
    <xf numFmtId="0" fontId="13" fillId="0" borderId="0" xfId="0" applyFont="1" applyAlignment="1" applyProtection="1">
      <alignment wrapText="1"/>
    </xf>
    <xf numFmtId="0" fontId="6" fillId="0" borderId="0" xfId="0" applyFont="1" applyAlignment="1" applyProtection="1">
      <alignment wrapText="1"/>
    </xf>
    <xf numFmtId="0" fontId="17" fillId="0" borderId="0" xfId="0" applyFont="1" applyAlignment="1" applyProtection="1">
      <alignment wrapText="1"/>
    </xf>
    <xf numFmtId="0" fontId="21" fillId="0" borderId="0" xfId="0" applyFont="1" applyAlignment="1" applyProtection="1">
      <alignment wrapText="1"/>
    </xf>
    <xf numFmtId="0" fontId="6" fillId="0" borderId="0" xfId="0" applyFont="1" applyFill="1" applyAlignment="1" applyProtection="1">
      <alignment wrapText="1"/>
    </xf>
    <xf numFmtId="0" fontId="22" fillId="0" borderId="0" xfId="0" applyFont="1" applyAlignment="1" applyProtection="1">
      <alignment wrapText="1"/>
    </xf>
    <xf numFmtId="164" fontId="3" fillId="0" borderId="0" xfId="0" applyNumberFormat="1" applyFont="1" applyProtection="1"/>
    <xf numFmtId="165" fontId="3" fillId="0" borderId="0" xfId="0" applyNumberFormat="1" applyFont="1" applyProtection="1"/>
    <xf numFmtId="166" fontId="3" fillId="0" borderId="0" xfId="1" applyFont="1" applyProtection="1"/>
    <xf numFmtId="0" fontId="3" fillId="0" borderId="0" xfId="2" applyNumberFormat="1" applyFont="1" applyProtection="1"/>
    <xf numFmtId="164" fontId="12" fillId="0" borderId="0" xfId="1" applyNumberFormat="1" applyFont="1" applyProtection="1"/>
    <xf numFmtId="166" fontId="12" fillId="0" borderId="0" xfId="1" applyFont="1" applyProtection="1"/>
    <xf numFmtId="0" fontId="12" fillId="0" borderId="0" xfId="1" applyNumberFormat="1" applyFont="1" applyProtection="1"/>
    <xf numFmtId="0" fontId="12" fillId="0" borderId="0" xfId="1" applyNumberFormat="1" applyFont="1" applyFill="1" applyProtection="1"/>
    <xf numFmtId="166" fontId="2" fillId="0" borderId="8" xfId="1" applyFont="1" applyFill="1" applyBorder="1" applyAlignment="1" applyProtection="1">
      <alignment horizontal="center"/>
    </xf>
    <xf numFmtId="0" fontId="12" fillId="0" borderId="0" xfId="0" applyFont="1" applyFill="1"/>
    <xf numFmtId="171" fontId="13" fillId="0" borderId="0" xfId="0" applyNumberFormat="1" applyFont="1" applyFill="1" applyAlignment="1">
      <alignment wrapText="1"/>
    </xf>
    <xf numFmtId="0" fontId="13" fillId="0" borderId="0" xfId="0" applyFont="1" applyFill="1" applyAlignment="1">
      <alignment wrapText="1"/>
    </xf>
    <xf numFmtId="171" fontId="12" fillId="0" borderId="0" xfId="1" applyNumberFormat="1" applyFont="1" applyFill="1"/>
    <xf numFmtId="0" fontId="0" fillId="5" borderId="0" xfId="0" applyFill="1"/>
    <xf numFmtId="164" fontId="2" fillId="0" borderId="5" xfId="0" applyNumberFormat="1" applyFont="1" applyFill="1" applyBorder="1" applyAlignment="1">
      <alignment horizontal="center"/>
    </xf>
    <xf numFmtId="168" fontId="0" fillId="0" borderId="5" xfId="0" applyNumberFormat="1" applyFill="1" applyBorder="1"/>
    <xf numFmtId="0" fontId="0" fillId="0" borderId="0" xfId="0" applyFill="1" applyBorder="1"/>
    <xf numFmtId="166" fontId="2" fillId="0" borderId="0" xfId="1" applyFont="1" applyFill="1" applyBorder="1" applyAlignment="1" applyProtection="1"/>
    <xf numFmtId="0" fontId="0" fillId="0" borderId="6" xfId="0" applyFill="1" applyBorder="1" applyProtection="1"/>
    <xf numFmtId="169" fontId="2" fillId="0" borderId="7" xfId="0" applyNumberFormat="1" applyFont="1" applyFill="1" applyBorder="1" applyAlignment="1">
      <alignment horizontal="center"/>
    </xf>
    <xf numFmtId="166" fontId="15" fillId="0" borderId="8" xfId="1" applyFont="1" applyFill="1" applyBorder="1" applyAlignment="1">
      <alignment horizontal="center"/>
    </xf>
    <xf numFmtId="166" fontId="15" fillId="0" borderId="8" xfId="1" applyFont="1" applyFill="1" applyBorder="1" applyAlignment="1" applyProtection="1">
      <alignment horizontal="center"/>
    </xf>
    <xf numFmtId="0" fontId="0" fillId="0" borderId="9" xfId="0" applyFill="1" applyBorder="1"/>
    <xf numFmtId="0" fontId="2" fillId="4" borderId="5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2" fillId="4" borderId="5" xfId="0" applyFont="1" applyFill="1" applyBorder="1" applyAlignment="1" applyProtection="1">
      <alignment horizontal="center"/>
    </xf>
    <xf numFmtId="0" fontId="5" fillId="4" borderId="0" xfId="0" applyFont="1" applyFill="1" applyBorder="1" applyAlignment="1" applyProtection="1">
      <alignment horizontal="center"/>
    </xf>
    <xf numFmtId="0" fontId="5" fillId="4" borderId="6" xfId="0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/>
    </xf>
    <xf numFmtId="166" fontId="3" fillId="0" borderId="0" xfId="1" applyNumberFormat="1" applyFont="1"/>
    <xf numFmtId="0" fontId="3" fillId="0" borderId="10" xfId="0" applyFont="1" applyFill="1" applyBorder="1"/>
    <xf numFmtId="164" fontId="3" fillId="0" borderId="0" xfId="0" applyNumberFormat="1" applyFont="1" applyBorder="1"/>
    <xf numFmtId="0" fontId="26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164" fontId="3" fillId="0" borderId="0" xfId="0" applyNumberFormat="1" applyFont="1" applyFill="1"/>
    <xf numFmtId="0" fontId="21" fillId="0" borderId="0" xfId="0" applyFont="1" applyFill="1"/>
    <xf numFmtId="164" fontId="12" fillId="0" borderId="0" xfId="0" applyNumberFormat="1" applyFont="1" applyFill="1"/>
    <xf numFmtId="2" fontId="12" fillId="0" borderId="0" xfId="0" applyNumberFormat="1" applyFont="1" applyFill="1"/>
    <xf numFmtId="0" fontId="13" fillId="0" borderId="0" xfId="0" applyFont="1" applyFill="1"/>
    <xf numFmtId="0" fontId="0" fillId="0" borderId="0" xfId="0" applyFill="1" applyBorder="1" applyProtection="1"/>
    <xf numFmtId="0" fontId="26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wrapText="1"/>
    </xf>
    <xf numFmtId="0" fontId="12" fillId="0" borderId="0" xfId="0" applyFont="1" applyFill="1" applyProtection="1"/>
    <xf numFmtId="0" fontId="21" fillId="0" borderId="0" xfId="0" applyFont="1" applyFill="1" applyProtection="1"/>
    <xf numFmtId="171" fontId="13" fillId="0" borderId="0" xfId="0" applyNumberFormat="1" applyFont="1" applyFill="1" applyAlignment="1" applyProtection="1">
      <alignment wrapText="1"/>
    </xf>
    <xf numFmtId="0" fontId="13" fillId="0" borderId="0" xfId="0" applyFont="1" applyFill="1" applyAlignment="1" applyProtection="1">
      <alignment wrapText="1"/>
    </xf>
    <xf numFmtId="164" fontId="3" fillId="0" borderId="0" xfId="0" applyNumberFormat="1" applyFont="1" applyFill="1" applyProtection="1"/>
    <xf numFmtId="171" fontId="12" fillId="0" borderId="0" xfId="1" applyNumberFormat="1" applyFont="1" applyFill="1" applyProtection="1"/>
    <xf numFmtId="164" fontId="12" fillId="0" borderId="0" xfId="0" applyNumberFormat="1" applyFont="1" applyFill="1" applyProtection="1"/>
    <xf numFmtId="2" fontId="12" fillId="0" borderId="0" xfId="0" applyNumberFormat="1" applyFont="1" applyFill="1" applyProtection="1"/>
    <xf numFmtId="0" fontId="13" fillId="0" borderId="0" xfId="0" applyFont="1" applyFill="1" applyProtection="1"/>
    <xf numFmtId="0" fontId="1" fillId="2" borderId="0" xfId="0" applyFont="1" applyFill="1" applyBorder="1" applyAlignment="1" applyProtection="1">
      <alignment vertical="center" wrapText="1"/>
    </xf>
    <xf numFmtId="169" fontId="1" fillId="2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/>
    </xf>
    <xf numFmtId="0" fontId="3" fillId="0" borderId="0" xfId="0" applyFont="1" applyBorder="1" applyProtection="1"/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Protection="1"/>
    <xf numFmtId="0" fontId="3" fillId="2" borderId="1" xfId="0" applyFont="1" applyFill="1" applyBorder="1" applyProtection="1"/>
    <xf numFmtId="0" fontId="2" fillId="0" borderId="1" xfId="0" applyFont="1" applyBorder="1" applyProtection="1"/>
    <xf numFmtId="0" fontId="3" fillId="0" borderId="1" xfId="0" applyFont="1" applyBorder="1" applyProtection="1"/>
    <xf numFmtId="0" fontId="3" fillId="0" borderId="1" xfId="0" applyFont="1" applyFill="1" applyBorder="1" applyProtection="1"/>
    <xf numFmtId="0" fontId="3" fillId="0" borderId="0" xfId="0" applyFont="1" applyAlignment="1" applyProtection="1">
      <alignment horizontal="left"/>
    </xf>
    <xf numFmtId="2" fontId="3" fillId="0" borderId="1" xfId="0" applyNumberFormat="1" applyFont="1" applyBorder="1" applyProtection="1"/>
    <xf numFmtId="169" fontId="3" fillId="0" borderId="1" xfId="0" applyNumberFormat="1" applyFont="1" applyFill="1" applyBorder="1" applyProtection="1"/>
    <xf numFmtId="0" fontId="3" fillId="6" borderId="1" xfId="0" applyFont="1" applyFill="1" applyBorder="1" applyProtection="1"/>
    <xf numFmtId="0" fontId="16" fillId="0" borderId="0" xfId="0" applyFont="1" applyAlignment="1" applyProtection="1">
      <alignment horizontal="center"/>
    </xf>
    <xf numFmtId="0" fontId="20" fillId="0" borderId="0" xfId="0" applyFont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1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" fillId="4" borderId="5" xfId="0" applyFont="1" applyFill="1" applyBorder="1" applyAlignment="1" applyProtection="1">
      <alignment horizontal="center"/>
    </xf>
    <xf numFmtId="0" fontId="5" fillId="4" borderId="0" xfId="0" applyFont="1" applyFill="1" applyBorder="1" applyAlignment="1" applyProtection="1">
      <alignment horizontal="center"/>
    </xf>
    <xf numFmtId="0" fontId="5" fillId="4" borderId="6" xfId="0" applyFont="1" applyFill="1" applyBorder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2" fillId="4" borderId="0" xfId="0" applyFont="1" applyFill="1" applyBorder="1" applyAlignment="1" applyProtection="1">
      <alignment horizontal="center"/>
    </xf>
    <xf numFmtId="0" fontId="20" fillId="0" borderId="0" xfId="0" applyFont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2" fillId="4" borderId="5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4" fillId="2" borderId="0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right" vertical="center" wrapText="1"/>
    </xf>
    <xf numFmtId="0" fontId="3" fillId="2" borderId="0" xfId="0" applyFont="1" applyFill="1" applyAlignment="1" applyProtection="1">
      <alignment horizontal="center"/>
    </xf>
    <xf numFmtId="14" fontId="3" fillId="2" borderId="0" xfId="0" applyNumberFormat="1" applyFont="1" applyFill="1" applyAlignment="1" applyProtection="1">
      <alignment horizontal="center"/>
    </xf>
    <xf numFmtId="0" fontId="14" fillId="2" borderId="0" xfId="0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4" fillId="2" borderId="0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4" fillId="2" borderId="0" xfId="0" applyFont="1" applyFill="1" applyBorder="1" applyAlignment="1" applyProtection="1">
      <alignment horizontal="left" vertical="center" wrapText="1"/>
    </xf>
    <xf numFmtId="0" fontId="2" fillId="4" borderId="0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2" fillId="0" borderId="0" xfId="0" applyFont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5" fillId="0" borderId="0" xfId="0" applyNumberFormat="1" applyFont="1" applyFill="1" applyBorder="1" applyAlignment="1">
      <alignment horizontal="center"/>
    </xf>
    <xf numFmtId="1" fontId="25" fillId="0" borderId="6" xfId="0" applyNumberFormat="1" applyFont="1" applyFill="1" applyBorder="1" applyAlignment="1">
      <alignment horizontal="center"/>
    </xf>
    <xf numFmtId="20" fontId="3" fillId="2" borderId="0" xfId="0" applyNumberFormat="1" applyFont="1" applyFill="1" applyAlignment="1" applyProtection="1">
      <alignment horizontal="center"/>
    </xf>
    <xf numFmtId="20" fontId="3" fillId="2" borderId="0" xfId="0" applyNumberFormat="1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wrapText="1"/>
    </xf>
    <xf numFmtId="0" fontId="5" fillId="4" borderId="0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16" fillId="0" borderId="0" xfId="0" applyFont="1" applyAlignment="1" applyProtection="1">
      <alignment horizontal="center"/>
    </xf>
    <xf numFmtId="0" fontId="20" fillId="0" borderId="0" xfId="0" applyFont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2" fillId="4" borderId="2" xfId="0" applyFont="1" applyFill="1" applyBorder="1" applyAlignment="1" applyProtection="1">
      <alignment horizontal="center"/>
    </xf>
    <xf numFmtId="0" fontId="2" fillId="4" borderId="3" xfId="0" applyFont="1" applyFill="1" applyBorder="1" applyAlignment="1" applyProtection="1">
      <alignment horizontal="center"/>
    </xf>
    <xf numFmtId="0" fontId="2" fillId="4" borderId="4" xfId="0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/>
    </xf>
    <xf numFmtId="0" fontId="2" fillId="4" borderId="6" xfId="0" applyFont="1" applyFill="1" applyBorder="1" applyAlignment="1" applyProtection="1">
      <alignment horizontal="center"/>
    </xf>
    <xf numFmtId="0" fontId="22" fillId="0" borderId="0" xfId="0" applyFont="1" applyAlignment="1" applyProtection="1">
      <alignment horizontal="center" wrapText="1"/>
    </xf>
    <xf numFmtId="164" fontId="2" fillId="0" borderId="0" xfId="0" applyNumberFormat="1" applyFont="1" applyBorder="1" applyAlignment="1" applyProtection="1">
      <alignment horizontal="center"/>
    </xf>
    <xf numFmtId="1" fontId="25" fillId="0" borderId="0" xfId="0" applyNumberFormat="1" applyFont="1" applyBorder="1" applyAlignment="1" applyProtection="1">
      <alignment horizontal="center"/>
    </xf>
    <xf numFmtId="1" fontId="25" fillId="0" borderId="6" xfId="0" applyNumberFormat="1" applyFont="1" applyBorder="1" applyAlignment="1" applyProtection="1">
      <alignment horizontal="center"/>
    </xf>
    <xf numFmtId="0" fontId="2" fillId="4" borderId="5" xfId="0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 wrapText="1"/>
    </xf>
    <xf numFmtId="0" fontId="5" fillId="4" borderId="0" xfId="0" applyFont="1" applyFill="1" applyBorder="1" applyAlignment="1" applyProtection="1">
      <alignment horizontal="center"/>
    </xf>
    <xf numFmtId="0" fontId="5" fillId="4" borderId="6" xfId="0" applyFont="1" applyFill="1" applyBorder="1" applyAlignment="1" applyProtection="1">
      <alignment horizontal="center"/>
    </xf>
    <xf numFmtId="0" fontId="13" fillId="0" borderId="0" xfId="0" applyFont="1" applyAlignment="1" applyProtection="1">
      <alignment horizontal="center" wrapText="1"/>
    </xf>
    <xf numFmtId="0" fontId="35" fillId="2" borderId="0" xfId="0" applyFont="1" applyFill="1" applyBorder="1" applyAlignment="1" applyProtection="1">
      <alignment horizontal="center" vertical="center" wrapText="1"/>
    </xf>
  </cellXfs>
  <cellStyles count="11">
    <cellStyle name="Milliers" xfId="2" builtinId="3"/>
    <cellStyle name="Milliers 2" xfId="3"/>
    <cellStyle name="Milliers 2 2" xfId="7"/>
    <cellStyle name="Milliers 2 3" xfId="9"/>
    <cellStyle name="Milliers 3" xfId="4"/>
    <cellStyle name="Milliers 3 2" xfId="10"/>
    <cellStyle name="Milliers 4" xfId="5"/>
    <cellStyle name="Milliers 5" xfId="6"/>
    <cellStyle name="Milliers 6" xfId="8"/>
    <cellStyle name="Normal" xfId="0" builtinId="0"/>
    <cellStyle name="Pourcentage" xfId="1" builtinId="5"/>
  </cellStyles>
  <dxfs count="0"/>
  <tableStyles count="0" defaultTableStyle="TableStyleMedium2" defaultPivotStyle="PivotStyleLight16"/>
  <colors>
    <indexedColors>
      <rgbColor rgb="FF000000"/>
      <rgbColor rgb="FFFDEAD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BE4B48"/>
      <rgbColor rgb="FFEBF1DE"/>
      <rgbColor rgb="FFDBEE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E6E0E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4A7EBB"/>
      <rgbColor rgb="FF87878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01695691949083E-2"/>
          <c:y val="0.12713737107321996"/>
          <c:w val="0.88349424494841566"/>
          <c:h val="0.77106368057999486"/>
        </c:manualLayout>
      </c:layout>
      <c:scatterChart>
        <c:scatterStyle val="lineMarker"/>
        <c:varyColors val="0"/>
        <c:ser>
          <c:idx val="9"/>
          <c:order val="0"/>
          <c:tx>
            <c:strRef>
              <c:f>ENG!$BT$15</c:f>
              <c:strCache>
                <c:ptCount val="1"/>
                <c:pt idx="0">
                  <c:v>Panels</c:v>
                </c:pt>
              </c:strCache>
            </c:strRef>
          </c:tx>
          <c:marker>
            <c:symbol val="none"/>
          </c:marker>
          <c:xVal>
            <c:strRef>
              <c:f>ENG!$BU$17:$BU$93</c:f>
              <c:strCache>
                <c:ptCount val="77"/>
                <c:pt idx="0">
                  <c:v>x</c:v>
                </c:pt>
                <c:pt idx="1">
                  <c:v>x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</c:strCache>
            </c:strRef>
          </c:xVal>
          <c:yVal>
            <c:numRef>
              <c:f>ENG!$BV$17:$BV$93</c:f>
              <c:numCache>
                <c:formatCode>General</c:formatCod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26-466F-AF44-2BDD6EF32D83}"/>
            </c:ext>
          </c:extLst>
        </c:ser>
        <c:ser>
          <c:idx val="0"/>
          <c:order val="1"/>
          <c:tx>
            <c:strRef>
              <c:f>ENG!$C$15</c:f>
              <c:strCache>
                <c:ptCount val="1"/>
                <c:pt idx="0">
                  <c:v>Flow depth (cm)</c:v>
                </c:pt>
              </c:strCache>
            </c:strRef>
          </c:tx>
          <c:spPr>
            <a:ln w="28440">
              <a:solidFill>
                <a:srgbClr val="4A7EBB"/>
              </a:solidFill>
              <a:round/>
            </a:ln>
          </c:spPr>
          <c:marker>
            <c:symbol val="square"/>
            <c:size val="5"/>
            <c:spPr>
              <a:solidFill>
                <a:srgbClr val="4A7EBB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ENG!$B$17:$B$42</c:f>
              <c:numCache>
                <c:formatCode>General</c:formatCode>
                <c:ptCount val="26"/>
              </c:numCache>
            </c:numRef>
          </c:xVal>
          <c:yVal>
            <c:numRef>
              <c:f>ENG!$N$17:$N$42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26-466F-AF44-2BDD6EF32D83}"/>
            </c:ext>
          </c:extLst>
        </c:ser>
        <c:ser>
          <c:idx val="1"/>
          <c:order val="2"/>
          <c:tx>
            <c:strRef>
              <c:f>ENG!$P$15</c:f>
              <c:strCache>
                <c:ptCount val="1"/>
                <c:pt idx="0">
                  <c:v>Edge extrapolation</c:v>
                </c:pt>
              </c:strCache>
            </c:strRef>
          </c:tx>
          <c:spPr>
            <a:ln w="28440">
              <a:solidFill>
                <a:srgbClr val="0070C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ENG!$Y$17:$Y$18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ENG!$AA$17:$AA$18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26-466F-AF44-2BDD6EF32D83}"/>
            </c:ext>
          </c:extLst>
        </c:ser>
        <c:ser>
          <c:idx val="2"/>
          <c:order val="3"/>
          <c:tx>
            <c:strRef>
              <c:f>ENG!$P$15</c:f>
              <c:strCache>
                <c:ptCount val="1"/>
                <c:pt idx="0">
                  <c:v>Edge extrapolation</c:v>
                </c:pt>
              </c:strCache>
            </c:strRef>
          </c:tx>
          <c:spPr>
            <a:ln w="28440">
              <a:solidFill>
                <a:srgbClr val="0070C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ENG!$Y$20:$Y$21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xVal>
          <c:yVal>
            <c:numRef>
              <c:f>ENG!$AA$20:$AA$21</c:f>
              <c:numCache>
                <c:formatCode>General</c:formatCode>
                <c:ptCount val="2"/>
                <c:pt idx="0">
                  <c:v>0</c:v>
                </c:pt>
                <c:pt idx="1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26-466F-AF44-2BDD6EF32D83}"/>
            </c:ext>
          </c:extLst>
        </c:ser>
        <c:ser>
          <c:idx val="3"/>
          <c:order val="4"/>
          <c:tx>
            <c:strRef>
              <c:f>ENG!$I$15</c:f>
              <c:strCache>
                <c:ptCount val="1"/>
                <c:pt idx="0">
                  <c:v>Velocity (m/s)</c:v>
                </c:pt>
              </c:strCache>
            </c:strRef>
          </c:tx>
          <c:spPr>
            <a:ln w="28440">
              <a:solidFill>
                <a:srgbClr val="BE4B48"/>
              </a:solidFill>
              <a:round/>
            </a:ln>
          </c:spPr>
          <c:marker>
            <c:symbol val="circle"/>
            <c:size val="11"/>
            <c:spPr>
              <a:noFill/>
              <a:ln>
                <a:solidFill>
                  <a:schemeClr val="tx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ENG!$B$17:$B$42</c:f>
              <c:numCache>
                <c:formatCode>General</c:formatCode>
                <c:ptCount val="26"/>
              </c:numCache>
            </c:numRef>
          </c:xVal>
          <c:yVal>
            <c:numRef>
              <c:f>ENG!$W$17:$W$42</c:f>
              <c:numCache>
                <c:formatCode>General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026-466F-AF44-2BDD6EF32D83}"/>
            </c:ext>
          </c:extLst>
        </c:ser>
        <c:ser>
          <c:idx val="4"/>
          <c:order val="5"/>
          <c:tx>
            <c:strRef>
              <c:f>ENG!$P$15</c:f>
              <c:strCache>
                <c:ptCount val="1"/>
                <c:pt idx="0">
                  <c:v>Edge extrapolation</c:v>
                </c:pt>
              </c:strCache>
            </c:strRef>
          </c:tx>
          <c:spPr>
            <a:ln w="28440">
              <a:solidFill>
                <a:srgbClr val="FFC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ENG!$P$17:$P$42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ENG!$Q$17:$Q$42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026-466F-AF44-2BDD6EF32D83}"/>
            </c:ext>
          </c:extLst>
        </c:ser>
        <c:ser>
          <c:idx val="5"/>
          <c:order val="6"/>
          <c:tx>
            <c:strRef>
              <c:f>ENG!$P$15</c:f>
              <c:strCache>
                <c:ptCount val="1"/>
                <c:pt idx="0">
                  <c:v>Edge extrapolation</c:v>
                </c:pt>
              </c:strCache>
            </c:strRef>
          </c:tx>
          <c:spPr>
            <a:ln w="28440">
              <a:solidFill>
                <a:srgbClr val="FFC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ENG!$T$17:$T$42</c:f>
              <c:numCache>
                <c:formatCode>General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xVal>
          <c:yVal>
            <c:numRef>
              <c:f>ENG!$U$17:$U$42</c:f>
              <c:numCache>
                <c:formatCode>General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026-466F-AF44-2BDD6EF32D83}"/>
            </c:ext>
          </c:extLst>
        </c:ser>
        <c:ser>
          <c:idx val="6"/>
          <c:order val="7"/>
          <c:tx>
            <c:strRef>
              <c:f>ENG!$M$15</c:f>
              <c:strCache>
                <c:ptCount val="1"/>
                <c:pt idx="0">
                  <c:v>% of total discharge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D18A008D-1B31-4A2C-A076-27FB82917291}" type="CELLRANGE">
                      <a:rPr lang="en-US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2026-466F-AF44-2BDD6EF32D8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26-466F-AF44-2BDD6EF32D83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xForSave val="1"/>
                </c:ext>
                <c:ext xmlns:c16="http://schemas.microsoft.com/office/drawing/2014/chart" uri="{C3380CC4-5D6E-409C-BE32-E72D297353CC}">
                  <c16:uniqueId val="{00000009-2026-466F-AF44-2BDD6EF32D83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xForSave val="1"/>
                </c:ext>
                <c:ext xmlns:c16="http://schemas.microsoft.com/office/drawing/2014/chart" uri="{C3380CC4-5D6E-409C-BE32-E72D297353CC}">
                  <c16:uniqueId val="{0000000A-2026-466F-AF44-2BDD6EF32D8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26-466F-AF44-2BDD6EF32D83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xForSave val="1"/>
                </c:ext>
                <c:ext xmlns:c16="http://schemas.microsoft.com/office/drawing/2014/chart" uri="{C3380CC4-5D6E-409C-BE32-E72D297353CC}">
                  <c16:uniqueId val="{0000000C-2026-466F-AF44-2BDD6EF32D83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xForSave val="1"/>
                </c:ext>
                <c:ext xmlns:c16="http://schemas.microsoft.com/office/drawing/2014/chart" uri="{C3380CC4-5D6E-409C-BE32-E72D297353CC}">
                  <c16:uniqueId val="{0000000D-2026-466F-AF44-2BDD6EF32D83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xForSave val="1"/>
                </c:ext>
                <c:ext xmlns:c16="http://schemas.microsoft.com/office/drawing/2014/chart" uri="{C3380CC4-5D6E-409C-BE32-E72D297353CC}">
                  <c16:uniqueId val="{0000000E-2026-466F-AF44-2BDD6EF32D83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xForSave val="1"/>
                </c:ext>
                <c:ext xmlns:c16="http://schemas.microsoft.com/office/drawing/2014/chart" uri="{C3380CC4-5D6E-409C-BE32-E72D297353CC}">
                  <c16:uniqueId val="{0000000F-2026-466F-AF44-2BDD6EF32D83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xForSave val="1"/>
                </c:ext>
                <c:ext xmlns:c16="http://schemas.microsoft.com/office/drawing/2014/chart" uri="{C3380CC4-5D6E-409C-BE32-E72D297353CC}">
                  <c16:uniqueId val="{00000010-2026-466F-AF44-2BDD6EF32D83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2026-466F-AF44-2BDD6EF32D83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2026-466F-AF44-2BDD6EF32D83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2026-466F-AF44-2BDD6EF32D83}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xForSave val="1"/>
                </c:ext>
                <c:ext xmlns:c16="http://schemas.microsoft.com/office/drawing/2014/chart" uri="{C3380CC4-5D6E-409C-BE32-E72D297353CC}">
                  <c16:uniqueId val="{00000014-2026-466F-AF44-2BDD6EF32D8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26-466F-AF44-2BDD6EF32D8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26-466F-AF44-2BDD6EF32D8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26-466F-AF44-2BDD6EF32D8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26-466F-AF44-2BDD6EF32D8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26-466F-AF44-2BDD6EF32D8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26-466F-AF44-2BDD6EF32D8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26-466F-AF44-2BDD6EF32D8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26-466F-AF44-2BDD6EF32D83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26-466F-AF44-2BDD6EF32D8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26-466F-AF44-2BDD6EF32D83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026-466F-AF44-2BDD6EF32D83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026-466F-AF44-2BDD6EF32D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rgbClr val="92D05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xVal>
            <c:numRef>
              <c:f>ENG!$AC$17:$AC$42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ENG!$AD$17:$AD$42</c:f>
              <c:numCache>
                <c:formatCode>0.000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ENG!$AG$17:$AG$42</c15:f>
                <c15:dlblRangeCache>
                  <c:ptCount val="26"/>
                  <c:pt idx="0">
                    <c:v>0 %</c:v>
                  </c:pt>
                  <c:pt idx="1">
                    <c:v>0 %</c:v>
                  </c:pt>
                  <c:pt idx="2">
                    <c:v>0 %</c:v>
                  </c:pt>
                  <c:pt idx="3">
                    <c:v>0 %</c:v>
                  </c:pt>
                  <c:pt idx="4">
                    <c:v>0 %</c:v>
                  </c:pt>
                  <c:pt idx="5">
                    <c:v>0 %</c:v>
                  </c:pt>
                  <c:pt idx="6">
                    <c:v>0 %</c:v>
                  </c:pt>
                  <c:pt idx="7">
                    <c:v>0 %</c:v>
                  </c:pt>
                  <c:pt idx="8">
                    <c:v>0 %</c:v>
                  </c:pt>
                  <c:pt idx="9">
                    <c:v>0 %</c:v>
                  </c:pt>
                  <c:pt idx="10">
                    <c:v>0 %</c:v>
                  </c:pt>
                  <c:pt idx="11">
                    <c:v>0 %</c:v>
                  </c:pt>
                  <c:pt idx="12">
                    <c:v>0 %</c:v>
                  </c:pt>
                  <c:pt idx="13">
                    <c:v>0 %</c:v>
                  </c:pt>
                  <c:pt idx="14">
                    <c:v>0 %</c:v>
                  </c:pt>
                  <c:pt idx="15">
                    <c:v>0 %</c:v>
                  </c:pt>
                  <c:pt idx="16">
                    <c:v>0 %</c:v>
                  </c:pt>
                  <c:pt idx="17">
                    <c:v>0 %</c:v>
                  </c:pt>
                  <c:pt idx="18">
                    <c:v>0 %</c:v>
                  </c:pt>
                  <c:pt idx="19">
                    <c:v>0 %</c:v>
                  </c:pt>
                  <c:pt idx="20">
                    <c:v>0 %</c:v>
                  </c:pt>
                  <c:pt idx="21">
                    <c:v>0 %</c:v>
                  </c:pt>
                  <c:pt idx="22">
                    <c:v>0 %</c:v>
                  </c:pt>
                  <c:pt idx="23">
                    <c:v>0 %</c:v>
                  </c:pt>
                  <c:pt idx="24">
                    <c:v>0 %</c:v>
                  </c:pt>
                  <c:pt idx="25">
                    <c:v>0 %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1-2026-466F-AF44-2BDD6EF32D83}"/>
            </c:ext>
          </c:extLst>
        </c:ser>
        <c:ser>
          <c:idx val="7"/>
          <c:order val="8"/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026-466F-AF44-2BDD6EF32D83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010302CF-335E-4320-B4F7-EE5FA2A1DAA2}" type="CELLRANGE">
                      <a:rPr lang="en-US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2026-466F-AF44-2BDD6EF32D8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026-466F-AF44-2BDD6EF32D8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026-466F-AF44-2BDD6EF32D83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1998277D-53F8-45EA-930E-183978029862}" type="CELLRANGE">
                      <a:rPr lang="en-US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2026-466F-AF44-2BDD6EF32D8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026-466F-AF44-2BDD6EF32D8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026-466F-AF44-2BDD6EF32D8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026-466F-AF44-2BDD6EF32D8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026-466F-AF44-2BDD6EF32D8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026-466F-AF44-2BDD6EF32D8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026-466F-AF44-2BDD6EF32D8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026-466F-AF44-2BDD6EF32D8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026-466F-AF44-2BDD6EF32D8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026-466F-AF44-2BDD6EF32D8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026-466F-AF44-2BDD6EF32D8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026-466F-AF44-2BDD6EF32D8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026-466F-AF44-2BDD6EF32D8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026-466F-AF44-2BDD6EF32D8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026-466F-AF44-2BDD6EF32D8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026-466F-AF44-2BDD6EF32D8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026-466F-AF44-2BDD6EF32D8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026-466F-AF44-2BDD6EF32D83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026-466F-AF44-2BDD6EF32D8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026-466F-AF44-2BDD6EF32D83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026-466F-AF44-2BDD6EF32D83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026-466F-AF44-2BDD6EF32D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rgbClr val="FFC00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ENG!$AC$17:$AC$42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ENG!$AE$17:$AE$42</c:f>
              <c:numCache>
                <c:formatCode>0.000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ENG!$AH$17:$AH$42</c15:f>
                <c15:dlblRangeCache>
                  <c:ptCount val="26"/>
                  <c:pt idx="0">
                    <c:v>#N/A</c:v>
                  </c:pt>
                  <c:pt idx="1">
                    <c:v>#N/A</c:v>
                  </c:pt>
                  <c:pt idx="2">
                    <c:v>#N/A</c:v>
                  </c:pt>
                  <c:pt idx="3">
                    <c:v>#N/A</c:v>
                  </c:pt>
                  <c:pt idx="4">
                    <c:v>#N/A</c:v>
                  </c:pt>
                  <c:pt idx="5">
                    <c:v>#N/A</c:v>
                  </c:pt>
                  <c:pt idx="6">
                    <c:v>#N/A</c:v>
                  </c:pt>
                  <c:pt idx="7">
                    <c:v>#N/A</c:v>
                  </c:pt>
                  <c:pt idx="8">
                    <c:v>#N/A</c:v>
                  </c:pt>
                  <c:pt idx="9">
                    <c:v>#N/A</c:v>
                  </c:pt>
                  <c:pt idx="10">
                    <c:v>#N/A</c:v>
                  </c:pt>
                  <c:pt idx="11">
                    <c:v>#N/A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C-2026-466F-AF44-2BDD6EF32D83}"/>
            </c:ext>
          </c:extLst>
        </c:ser>
        <c:ser>
          <c:idx val="8"/>
          <c:order val="9"/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026-466F-AF44-2BDD6EF32D8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026-466F-AF44-2BDD6EF32D8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026-466F-AF44-2BDD6EF32D8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026-466F-AF44-2BDD6EF32D8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026-466F-AF44-2BDD6EF32D8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026-466F-AF44-2BDD6EF32D8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026-466F-AF44-2BDD6EF32D8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026-466F-AF44-2BDD6EF32D8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026-466F-AF44-2BDD6EF32D8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026-466F-AF44-2BDD6EF32D8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026-466F-AF44-2BDD6EF32D8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026-466F-AF44-2BDD6EF32D8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90877667-6BD3-4834-8401-E746968F4687}" type="CELLRANGE">
                      <a:rPr lang="en-US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9-2026-466F-AF44-2BDD6EF32D8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026-466F-AF44-2BDD6EF32D8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026-466F-AF44-2BDD6EF32D8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026-466F-AF44-2BDD6EF32D8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026-466F-AF44-2BDD6EF32D8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026-466F-AF44-2BDD6EF32D8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026-466F-AF44-2BDD6EF32D8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026-466F-AF44-2BDD6EF32D8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026-466F-AF44-2BDD6EF32D8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026-466F-AF44-2BDD6EF32D83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2026-466F-AF44-2BDD6EF32D8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026-466F-AF44-2BDD6EF32D83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2026-466F-AF44-2BDD6EF32D83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026-466F-AF44-2BDD6EF32D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rgbClr val="FF000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ENG!$AC$17:$AC$42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ENG!$AF$17:$AF$42</c:f>
              <c:numCache>
                <c:formatCode>0.000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ENG!$AI$17:$AI$42</c15:f>
                <c15:dlblRangeCache>
                  <c:ptCount val="26"/>
                  <c:pt idx="0">
                    <c:v>#N/A</c:v>
                  </c:pt>
                  <c:pt idx="1">
                    <c:v>#N/A</c:v>
                  </c:pt>
                  <c:pt idx="2">
                    <c:v>#N/A</c:v>
                  </c:pt>
                  <c:pt idx="3">
                    <c:v>#N/A</c:v>
                  </c:pt>
                  <c:pt idx="4">
                    <c:v>#N/A</c:v>
                  </c:pt>
                  <c:pt idx="5">
                    <c:v>#N/A</c:v>
                  </c:pt>
                  <c:pt idx="6">
                    <c:v>#N/A</c:v>
                  </c:pt>
                  <c:pt idx="7">
                    <c:v>#N/A</c:v>
                  </c:pt>
                  <c:pt idx="8">
                    <c:v>#N/A</c:v>
                  </c:pt>
                  <c:pt idx="9">
                    <c:v>#N/A</c:v>
                  </c:pt>
                  <c:pt idx="10">
                    <c:v>#N/A</c:v>
                  </c:pt>
                  <c:pt idx="11">
                    <c:v>#N/A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7-2026-466F-AF44-2BDD6EF32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082111"/>
        <c:axId val="97803899"/>
      </c:scatterChart>
      <c:valAx>
        <c:axId val="9408211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n-NZ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NZ" sz="1400" b="1" strike="noStrike" spc="-1">
                    <a:solidFill>
                      <a:srgbClr val="000000"/>
                    </a:solidFill>
                    <a:latin typeface="Calibri"/>
                  </a:rPr>
                  <a:t>Distance</a:t>
                </a:r>
                <a:r>
                  <a:rPr lang="en-NZ" sz="1400" b="1" strike="noStrike" spc="-1" baseline="0">
                    <a:solidFill>
                      <a:srgbClr val="000000"/>
                    </a:solidFill>
                    <a:latin typeface="Calibri"/>
                  </a:rPr>
                  <a:t> along transect </a:t>
                </a:r>
                <a:r>
                  <a:rPr lang="en-NZ" sz="1400" b="1" strike="noStrike" spc="-1">
                    <a:solidFill>
                      <a:srgbClr val="000000"/>
                    </a:solidFill>
                    <a:latin typeface="Calibri"/>
                  </a:rPr>
                  <a:t>[m]</a:t>
                </a:r>
              </a:p>
            </c:rich>
          </c:tx>
          <c:layout/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4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7803899"/>
        <c:crosses val="autoZero"/>
        <c:crossBetween val="midCat"/>
      </c:valAx>
      <c:valAx>
        <c:axId val="9780389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NZ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NZ" sz="1400" b="1" strike="noStrike" spc="-1">
                    <a:solidFill>
                      <a:srgbClr val="0070C0"/>
                    </a:solidFill>
                    <a:latin typeface="Calibri"/>
                  </a:rPr>
                  <a:t>Depth [m]</a:t>
                </a:r>
                <a:r>
                  <a:rPr lang="en-NZ" sz="1000" b="1" strike="noStrike" spc="-1">
                    <a:solidFill>
                      <a:srgbClr val="000000"/>
                    </a:solidFill>
                    <a:latin typeface="Calibri"/>
                  </a:rPr>
                  <a:t>	</a:t>
                </a:r>
                <a:r>
                  <a:rPr lang="en-NZ" sz="1400" b="1" strike="noStrike" spc="-1">
                    <a:solidFill>
                      <a:srgbClr val="C00000"/>
                    </a:solidFill>
                    <a:latin typeface="Calibri"/>
                  </a:rPr>
                  <a:t>Velocity [m/s]</a:t>
                </a:r>
              </a:p>
              <a:p>
                <a:pPr>
                  <a:defRPr lang="en-NZ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NZ" sz="1000" b="1" strike="noStrike" spc="-1">
                  <a:solidFill>
                    <a:srgbClr val="000000"/>
                  </a:solidFill>
                  <a:latin typeface="Calibri"/>
                </a:endParaRPr>
              </a:p>
            </c:rich>
          </c:tx>
          <c:layout/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4082111"/>
        <c:crosses val="autoZero"/>
        <c:crossBetween val="midCat"/>
      </c:valAx>
      <c:spPr>
        <a:solidFill>
          <a:srgbClr val="FFFFFF"/>
        </a:solidFill>
        <a:ln>
          <a:noFill/>
        </a:ln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legendEntry>
        <c:idx val="6"/>
        <c:delete val="1"/>
      </c:legendEntry>
      <c:legendEntry>
        <c:idx val="8"/>
        <c:delete val="1"/>
      </c:legendEntry>
      <c:legendEntry>
        <c:idx val="9"/>
        <c:delete val="1"/>
      </c:legendEntry>
      <c:layout/>
      <c:overlay val="0"/>
      <c:spPr>
        <a:noFill/>
        <a:ln>
          <a:noFill/>
        </a:ln>
      </c:spPr>
      <c:txPr>
        <a:bodyPr/>
        <a:lstStyle/>
        <a:p>
          <a:pPr>
            <a:defRPr sz="14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span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/>
              <a:t>Uncertainty budget (Flaure)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56-4025-8C1E-2280749C55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9B0-4DFD-95C3-7A82A334E0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56-4025-8C1E-2280749C55C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56-4025-8C1E-2280749C55C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56-4025-8C1E-2280749C55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656-4025-8C1E-2280749C55C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656-4025-8C1E-2280749C55C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656-4025-8C1E-2280749C55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ENG_example!$BA$4:$BA$12</c15:sqref>
                  </c15:fullRef>
                </c:ext>
              </c:extLst>
              <c:f>ENG_example!$BA$4:$BA$11</c:f>
              <c:strCache>
                <c:ptCount val="6"/>
                <c:pt idx="0">
                  <c:v>systematic</c:v>
                </c:pt>
                <c:pt idx="1">
                  <c:v>width measurement</c:v>
                </c:pt>
                <c:pt idx="2">
                  <c:v>depth measurement</c:v>
                </c:pt>
                <c:pt idx="3">
                  <c:v>velocity-head reading</c:v>
                </c:pt>
                <c:pt idx="4">
                  <c:v>edge coefficients</c:v>
                </c:pt>
                <c:pt idx="5">
                  <c:v>lateral integration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ENG_example!$BB$4:$BB$9</c15:sqref>
                  </c15:fullRef>
                </c:ext>
              </c:extLst>
              <c:f>ENG_example!$BB$4:$BB$9</c:f>
              <c:numCache>
                <c:formatCode>0\ %</c:formatCode>
                <c:ptCount val="6"/>
                <c:pt idx="0">
                  <c:v>1.2607576489441026E-2</c:v>
                </c:pt>
                <c:pt idx="1">
                  <c:v>7.8789825956568915E-2</c:v>
                </c:pt>
                <c:pt idx="2">
                  <c:v>3.4493244957506481E-3</c:v>
                </c:pt>
                <c:pt idx="3">
                  <c:v>6.1381567855272517E-2</c:v>
                </c:pt>
                <c:pt idx="4">
                  <c:v>3.4367738068770951E-4</c:v>
                </c:pt>
                <c:pt idx="5">
                  <c:v>0.84342802782227955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656-4025-8C1E-2280749C5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2802455936556469"/>
          <c:y val="0.18548256369145161"/>
          <c:w val="0.45482781147419432"/>
          <c:h val="0.751106347924501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000"/>
              <a:t>Uncertainty budget</a:t>
            </a:r>
            <a:r>
              <a:rPr lang="fr-FR" sz="2000" baseline="0"/>
              <a:t> (Q+)</a:t>
            </a:r>
            <a:endParaRPr lang="fr-FR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D2-4726-81C5-75196641FB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DEE-4C7C-9768-8C466FF05A8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D2-4726-81C5-75196641FB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5D2-4726-81C5-75196641FB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5D2-4726-81C5-75196641FB8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5D2-4726-81C5-75196641FB8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5D2-4726-81C5-75196641FB8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5D2-4726-81C5-75196641FB8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5D2-4726-81C5-75196641FB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ENG_example!$AD$4:$AD$10</c:f>
              <c:strCache>
                <c:ptCount val="7"/>
                <c:pt idx="0">
                  <c:v>systematic</c:v>
                </c:pt>
                <c:pt idx="1">
                  <c:v>width measurement</c:v>
                </c:pt>
                <c:pt idx="2">
                  <c:v>depth measurement</c:v>
                </c:pt>
                <c:pt idx="3">
                  <c:v>velocity-head reading</c:v>
                </c:pt>
                <c:pt idx="4">
                  <c:v>edge coefficients</c:v>
                </c:pt>
                <c:pt idx="5">
                  <c:v>depth lateral integration</c:v>
                </c:pt>
                <c:pt idx="6">
                  <c:v>velocity lateral integration</c:v>
                </c:pt>
              </c:strCache>
            </c:strRef>
          </c:cat>
          <c:val>
            <c:numRef>
              <c:f>ENG_example!$AE$4:$AE$10</c:f>
              <c:numCache>
                <c:formatCode>0\ %</c:formatCode>
                <c:ptCount val="7"/>
                <c:pt idx="0">
                  <c:v>7.8320960250139834E-2</c:v>
                </c:pt>
                <c:pt idx="1">
                  <c:v>0.48945924159397786</c:v>
                </c:pt>
                <c:pt idx="2">
                  <c:v>2.1427941123163301E-2</c:v>
                </c:pt>
                <c:pt idx="3">
                  <c:v>0.38131542093838255</c:v>
                </c:pt>
                <c:pt idx="4">
                  <c:v>2.1349973560943814E-3</c:v>
                </c:pt>
                <c:pt idx="5">
                  <c:v>2.1862552545020997E-2</c:v>
                </c:pt>
                <c:pt idx="6">
                  <c:v>5.4788861932208834E-3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D2-4726-81C5-75196641F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/>
              <a:t>Uncertainty budget (ISO748)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90A-4645-A518-70405BC228A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52D-416D-961A-1D57B7E78A7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90A-4645-A518-70405BC228A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90A-4645-A518-70405BC228A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90A-4645-A518-70405BC228A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90A-4645-A518-70405BC228A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90A-4645-A518-70405BC228A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90A-4645-A518-70405BC228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ENG_example!$BA$4:$BA$12</c15:sqref>
                  </c15:fullRef>
                </c:ext>
              </c:extLst>
              <c:f>ENG_example!$BA$4:$BA$11</c:f>
              <c:strCache>
                <c:ptCount val="6"/>
                <c:pt idx="0">
                  <c:v>systematic</c:v>
                </c:pt>
                <c:pt idx="1">
                  <c:v>width measurement</c:v>
                </c:pt>
                <c:pt idx="2">
                  <c:v>depth measurement</c:v>
                </c:pt>
                <c:pt idx="3">
                  <c:v>velocity-head reading</c:v>
                </c:pt>
                <c:pt idx="4">
                  <c:v>edge coefficients</c:v>
                </c:pt>
                <c:pt idx="5">
                  <c:v>lateral integration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ENG_example!$AR$4:$AR$9</c15:sqref>
                  </c15:fullRef>
                </c:ext>
              </c:extLst>
              <c:f>ENG_example!$AR$4:$AR$9</c:f>
              <c:numCache>
                <c:formatCode>0\ %</c:formatCode>
                <c:ptCount val="6"/>
                <c:pt idx="0">
                  <c:v>4.231397115766327E-2</c:v>
                </c:pt>
                <c:pt idx="1">
                  <c:v>0.26443705702168452</c:v>
                </c:pt>
                <c:pt idx="2">
                  <c:v>1.1576738586424822E-2</c:v>
                </c:pt>
                <c:pt idx="3">
                  <c:v>0.20601087719082375</c:v>
                </c:pt>
                <c:pt idx="4">
                  <c:v>1.1534615543391999E-3</c:v>
                </c:pt>
                <c:pt idx="5">
                  <c:v>0.4745078944890645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90A-4645-A518-70405BC22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2802455936556469"/>
          <c:y val="0.18548256369145161"/>
          <c:w val="0.45482781147419432"/>
          <c:h val="0.751106347924501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01695691949083E-2"/>
          <c:y val="0.12713737107321996"/>
          <c:w val="0.88349424494841566"/>
          <c:h val="0.77106368057999486"/>
        </c:manualLayout>
      </c:layout>
      <c:scatterChart>
        <c:scatterStyle val="lineMarker"/>
        <c:varyColors val="0"/>
        <c:ser>
          <c:idx val="9"/>
          <c:order val="0"/>
          <c:tx>
            <c:strRef>
              <c:f>FR_exemple!$BT$15</c:f>
              <c:strCache>
                <c:ptCount val="1"/>
                <c:pt idx="0">
                  <c:v>Sous-sections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xVal>
            <c:numRef>
              <c:f>FR_exemple!$BU$17:$BU$93</c:f>
              <c:numCache>
                <c:formatCode>0.00</c:formatCode>
                <c:ptCount val="77"/>
                <c:pt idx="0">
                  <c:v>1.88</c:v>
                </c:pt>
                <c:pt idx="1">
                  <c:v>1.97</c:v>
                </c:pt>
                <c:pt idx="2">
                  <c:v>1.97</c:v>
                </c:pt>
                <c:pt idx="3">
                  <c:v>1.97</c:v>
                </c:pt>
                <c:pt idx="4">
                  <c:v>2.1150000000000002</c:v>
                </c:pt>
                <c:pt idx="5">
                  <c:v>2.1150000000000002</c:v>
                </c:pt>
                <c:pt idx="6">
                  <c:v>2.1150000000000002</c:v>
                </c:pt>
                <c:pt idx="7">
                  <c:v>2.2199999999999998</c:v>
                </c:pt>
                <c:pt idx="8">
                  <c:v>2.2199999999999998</c:v>
                </c:pt>
                <c:pt idx="9">
                  <c:v>2.2199999999999998</c:v>
                </c:pt>
                <c:pt idx="10">
                  <c:v>2.3250000000000002</c:v>
                </c:pt>
                <c:pt idx="11">
                  <c:v>2.3250000000000002</c:v>
                </c:pt>
                <c:pt idx="12">
                  <c:v>2.3250000000000002</c:v>
                </c:pt>
                <c:pt idx="13">
                  <c:v>2.4350000000000001</c:v>
                </c:pt>
                <c:pt idx="14">
                  <c:v>2.4350000000000001</c:v>
                </c:pt>
                <c:pt idx="15">
                  <c:v>2.4350000000000001</c:v>
                </c:pt>
                <c:pt idx="16">
                  <c:v>2.5449999999999999</c:v>
                </c:pt>
                <c:pt idx="17">
                  <c:v>2.5449999999999999</c:v>
                </c:pt>
                <c:pt idx="18">
                  <c:v>2.5449999999999999</c:v>
                </c:pt>
                <c:pt idx="19">
                  <c:v>2.6550000000000002</c:v>
                </c:pt>
                <c:pt idx="20">
                  <c:v>2.6550000000000002</c:v>
                </c:pt>
                <c:pt idx="21">
                  <c:v>2.6550000000000002</c:v>
                </c:pt>
                <c:pt idx="22">
                  <c:v>2.7649999999999997</c:v>
                </c:pt>
                <c:pt idx="23">
                  <c:v>2.7649999999999997</c:v>
                </c:pt>
                <c:pt idx="24">
                  <c:v>2.7649999999999997</c:v>
                </c:pt>
                <c:pt idx="25">
                  <c:v>2.875</c:v>
                </c:pt>
                <c:pt idx="26">
                  <c:v>2.875</c:v>
                </c:pt>
                <c:pt idx="27">
                  <c:v>2.875</c:v>
                </c:pt>
                <c:pt idx="28">
                  <c:v>2.9850000000000003</c:v>
                </c:pt>
                <c:pt idx="29">
                  <c:v>2.9850000000000003</c:v>
                </c:pt>
                <c:pt idx="30">
                  <c:v>2.9850000000000003</c:v>
                </c:pt>
                <c:pt idx="31">
                  <c:v>3.0949999999999998</c:v>
                </c:pt>
                <c:pt idx="32">
                  <c:v>3.0949999999999998</c:v>
                </c:pt>
                <c:pt idx="33">
                  <c:v>3.0949999999999998</c:v>
                </c:pt>
                <c:pt idx="34">
                  <c:v>3.2050000000000001</c:v>
                </c:pt>
                <c:pt idx="35">
                  <c:v>3.2050000000000001</c:v>
                </c:pt>
                <c:pt idx="36">
                  <c:v>3.2050000000000001</c:v>
                </c:pt>
                <c:pt idx="37">
                  <c:v>3.34</c:v>
                </c:pt>
                <c:pt idx="38">
                  <c:v>3.34</c:v>
                </c:pt>
                <c:pt idx="39">
                  <c:v>3.34</c:v>
                </c:pt>
                <c:pt idx="40">
                  <c:v>3.51</c:v>
                </c:pt>
                <c:pt idx="41">
                  <c:v>3.51</c:v>
                </c:pt>
                <c:pt idx="42">
                  <c:v>3.51</c:v>
                </c:pt>
                <c:pt idx="43">
                  <c:v>3.6</c:v>
                </c:pt>
                <c:pt idx="44">
                  <c:v>3.6</c:v>
                </c:pt>
                <c:pt idx="45">
                  <c:v>3.6</c:v>
                </c:pt>
                <c:pt idx="46">
                  <c:v>3.6</c:v>
                </c:pt>
                <c:pt idx="47">
                  <c:v>3.6</c:v>
                </c:pt>
                <c:pt idx="48">
                  <c:v>3.6</c:v>
                </c:pt>
                <c:pt idx="49">
                  <c:v>3.6</c:v>
                </c:pt>
                <c:pt idx="50">
                  <c:v>3.6</c:v>
                </c:pt>
                <c:pt idx="51">
                  <c:v>3.6</c:v>
                </c:pt>
                <c:pt idx="52">
                  <c:v>3.6</c:v>
                </c:pt>
                <c:pt idx="53">
                  <c:v>3.6</c:v>
                </c:pt>
                <c:pt idx="54">
                  <c:v>3.6</c:v>
                </c:pt>
                <c:pt idx="55">
                  <c:v>3.6</c:v>
                </c:pt>
                <c:pt idx="56">
                  <c:v>3.6</c:v>
                </c:pt>
                <c:pt idx="57">
                  <c:v>3.6</c:v>
                </c:pt>
                <c:pt idx="58">
                  <c:v>3.6</c:v>
                </c:pt>
                <c:pt idx="59">
                  <c:v>3.6</c:v>
                </c:pt>
                <c:pt idx="60">
                  <c:v>3.6</c:v>
                </c:pt>
                <c:pt idx="61">
                  <c:v>3.6</c:v>
                </c:pt>
                <c:pt idx="62">
                  <c:v>3.6</c:v>
                </c:pt>
                <c:pt idx="63">
                  <c:v>3.6</c:v>
                </c:pt>
                <c:pt idx="64">
                  <c:v>3.6</c:v>
                </c:pt>
                <c:pt idx="65">
                  <c:v>3.6</c:v>
                </c:pt>
                <c:pt idx="66">
                  <c:v>3.6</c:v>
                </c:pt>
                <c:pt idx="67">
                  <c:v>3.6</c:v>
                </c:pt>
                <c:pt idx="68">
                  <c:v>3.6</c:v>
                </c:pt>
                <c:pt idx="69">
                  <c:v>3.6</c:v>
                </c:pt>
                <c:pt idx="70">
                  <c:v>3.6</c:v>
                </c:pt>
                <c:pt idx="71">
                  <c:v>3.6</c:v>
                </c:pt>
                <c:pt idx="72">
                  <c:v>3.6</c:v>
                </c:pt>
                <c:pt idx="73">
                  <c:v>3.6</c:v>
                </c:pt>
                <c:pt idx="74">
                  <c:v>3.6</c:v>
                </c:pt>
                <c:pt idx="75">
                  <c:v>3.6</c:v>
                </c:pt>
                <c:pt idx="76">
                  <c:v>3.6</c:v>
                </c:pt>
              </c:numCache>
            </c:numRef>
          </c:xVal>
          <c:yVal>
            <c:numRef>
              <c:f>FR_exemple!$BV$17:$BV$93</c:f>
              <c:numCache>
                <c:formatCode>General</c:formatCode>
                <c:ptCount val="77"/>
                <c:pt idx="0">
                  <c:v>-0.15</c:v>
                </c:pt>
                <c:pt idx="1">
                  <c:v>-0.15</c:v>
                </c:pt>
                <c:pt idx="2">
                  <c:v>0</c:v>
                </c:pt>
                <c:pt idx="3">
                  <c:v>-0.185</c:v>
                </c:pt>
                <c:pt idx="4">
                  <c:v>-0.185</c:v>
                </c:pt>
                <c:pt idx="5">
                  <c:v>0</c:v>
                </c:pt>
                <c:pt idx="6">
                  <c:v>-0.2</c:v>
                </c:pt>
                <c:pt idx="7">
                  <c:v>-0.2</c:v>
                </c:pt>
                <c:pt idx="8">
                  <c:v>0</c:v>
                </c:pt>
                <c:pt idx="9">
                  <c:v>-0.24</c:v>
                </c:pt>
                <c:pt idx="10">
                  <c:v>-0.24</c:v>
                </c:pt>
                <c:pt idx="11">
                  <c:v>0</c:v>
                </c:pt>
                <c:pt idx="12">
                  <c:v>-0.3</c:v>
                </c:pt>
                <c:pt idx="13">
                  <c:v>-0.3</c:v>
                </c:pt>
                <c:pt idx="14">
                  <c:v>0</c:v>
                </c:pt>
                <c:pt idx="15">
                  <c:v>-0.34499999999999997</c:v>
                </c:pt>
                <c:pt idx="16">
                  <c:v>-0.34499999999999997</c:v>
                </c:pt>
                <c:pt idx="17">
                  <c:v>0</c:v>
                </c:pt>
                <c:pt idx="18">
                  <c:v>-0.34499999999999997</c:v>
                </c:pt>
                <c:pt idx="19">
                  <c:v>-0.34499999999999997</c:v>
                </c:pt>
                <c:pt idx="20">
                  <c:v>0</c:v>
                </c:pt>
                <c:pt idx="21">
                  <c:v>-0.33500000000000002</c:v>
                </c:pt>
                <c:pt idx="22">
                  <c:v>-0.33500000000000002</c:v>
                </c:pt>
                <c:pt idx="23">
                  <c:v>0</c:v>
                </c:pt>
                <c:pt idx="24">
                  <c:v>-0.35</c:v>
                </c:pt>
                <c:pt idx="25">
                  <c:v>-0.35</c:v>
                </c:pt>
                <c:pt idx="26">
                  <c:v>0</c:v>
                </c:pt>
                <c:pt idx="27">
                  <c:v>-0.34</c:v>
                </c:pt>
                <c:pt idx="28">
                  <c:v>-0.34</c:v>
                </c:pt>
                <c:pt idx="29">
                  <c:v>0</c:v>
                </c:pt>
                <c:pt idx="30">
                  <c:v>-0.34</c:v>
                </c:pt>
                <c:pt idx="31">
                  <c:v>-0.34</c:v>
                </c:pt>
                <c:pt idx="32">
                  <c:v>0</c:v>
                </c:pt>
                <c:pt idx="33">
                  <c:v>-0.34</c:v>
                </c:pt>
                <c:pt idx="34">
                  <c:v>-0.34</c:v>
                </c:pt>
                <c:pt idx="35">
                  <c:v>0</c:v>
                </c:pt>
                <c:pt idx="36">
                  <c:v>-0.28499999999999998</c:v>
                </c:pt>
                <c:pt idx="37">
                  <c:v>-0.28499999999999998</c:v>
                </c:pt>
                <c:pt idx="38">
                  <c:v>0</c:v>
                </c:pt>
                <c:pt idx="39">
                  <c:v>-0.15</c:v>
                </c:pt>
                <c:pt idx="40">
                  <c:v>-0.15</c:v>
                </c:pt>
                <c:pt idx="41">
                  <c:v>0</c:v>
                </c:pt>
                <c:pt idx="42">
                  <c:v>-0.12</c:v>
                </c:pt>
                <c:pt idx="43">
                  <c:v>-0.12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A4-414B-8575-334B79496A86}"/>
            </c:ext>
          </c:extLst>
        </c:ser>
        <c:ser>
          <c:idx val="0"/>
          <c:order val="1"/>
          <c:tx>
            <c:strRef>
              <c:f>FR_exemple!$C$15</c:f>
              <c:strCache>
                <c:ptCount val="1"/>
                <c:pt idx="0">
                  <c:v>Profondeur (cm)</c:v>
                </c:pt>
              </c:strCache>
            </c:strRef>
          </c:tx>
          <c:spPr>
            <a:ln w="28440">
              <a:solidFill>
                <a:srgbClr val="4A7EBB"/>
              </a:solidFill>
              <a:round/>
            </a:ln>
          </c:spPr>
          <c:marker>
            <c:symbol val="square"/>
            <c:size val="5"/>
            <c:spPr>
              <a:solidFill>
                <a:srgbClr val="4A7EBB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FR_exemple!$B$17:$B$42</c:f>
              <c:numCache>
                <c:formatCode>General</c:formatCode>
                <c:ptCount val="26"/>
                <c:pt idx="0">
                  <c:v>1.88</c:v>
                </c:pt>
                <c:pt idx="1">
                  <c:v>2.06</c:v>
                </c:pt>
                <c:pt idx="2">
                  <c:v>2.17</c:v>
                </c:pt>
                <c:pt idx="3">
                  <c:v>2.27</c:v>
                </c:pt>
                <c:pt idx="4">
                  <c:v>2.38</c:v>
                </c:pt>
                <c:pt idx="5">
                  <c:v>2.4900000000000002</c:v>
                </c:pt>
                <c:pt idx="6">
                  <c:v>2.6</c:v>
                </c:pt>
                <c:pt idx="7">
                  <c:v>2.71</c:v>
                </c:pt>
                <c:pt idx="8">
                  <c:v>2.82</c:v>
                </c:pt>
                <c:pt idx="9">
                  <c:v>2.93</c:v>
                </c:pt>
                <c:pt idx="10">
                  <c:v>3.04</c:v>
                </c:pt>
                <c:pt idx="11">
                  <c:v>3.15</c:v>
                </c:pt>
                <c:pt idx="12">
                  <c:v>3.26</c:v>
                </c:pt>
                <c:pt idx="13">
                  <c:v>3.42</c:v>
                </c:pt>
                <c:pt idx="14">
                  <c:v>3.6</c:v>
                </c:pt>
              </c:numCache>
            </c:numRef>
          </c:xVal>
          <c:yVal>
            <c:numRef>
              <c:f>FR_exemple!$N$17:$N$42</c:f>
              <c:numCache>
                <c:formatCode>General</c:formatCode>
                <c:ptCount val="26"/>
                <c:pt idx="0">
                  <c:v>-0.15</c:v>
                </c:pt>
                <c:pt idx="1">
                  <c:v>-0.185</c:v>
                </c:pt>
                <c:pt idx="2">
                  <c:v>-0.2</c:v>
                </c:pt>
                <c:pt idx="3">
                  <c:v>-0.24</c:v>
                </c:pt>
                <c:pt idx="4">
                  <c:v>-0.3</c:v>
                </c:pt>
                <c:pt idx="5">
                  <c:v>-0.34499999999999997</c:v>
                </c:pt>
                <c:pt idx="6">
                  <c:v>-0.34499999999999997</c:v>
                </c:pt>
                <c:pt idx="7">
                  <c:v>-0.33500000000000002</c:v>
                </c:pt>
                <c:pt idx="8">
                  <c:v>-0.35</c:v>
                </c:pt>
                <c:pt idx="9">
                  <c:v>-0.34</c:v>
                </c:pt>
                <c:pt idx="10">
                  <c:v>-0.34</c:v>
                </c:pt>
                <c:pt idx="11">
                  <c:v>-0.34</c:v>
                </c:pt>
                <c:pt idx="12">
                  <c:v>-0.28499999999999998</c:v>
                </c:pt>
                <c:pt idx="13">
                  <c:v>-0.15</c:v>
                </c:pt>
                <c:pt idx="14">
                  <c:v>-0.12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7C-41D3-A010-2EADA4AAAF1A}"/>
            </c:ext>
          </c:extLst>
        </c:ser>
        <c:ser>
          <c:idx val="1"/>
          <c:order val="2"/>
          <c:tx>
            <c:strRef>
              <c:f>FR_exemple!$P$15</c:f>
              <c:strCache>
                <c:ptCount val="1"/>
                <c:pt idx="0">
                  <c:v>Extrapolation aux rives</c:v>
                </c:pt>
              </c:strCache>
            </c:strRef>
          </c:tx>
          <c:spPr>
            <a:ln w="28440">
              <a:solidFill>
                <a:srgbClr val="0070C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FR_exemple!$Y$17:$Y$18</c:f>
              <c:numCache>
                <c:formatCode>General</c:formatCode>
                <c:ptCount val="2"/>
                <c:pt idx="0">
                  <c:v>1.88</c:v>
                </c:pt>
                <c:pt idx="1">
                  <c:v>1.88</c:v>
                </c:pt>
              </c:numCache>
            </c:numRef>
          </c:xVal>
          <c:yVal>
            <c:numRef>
              <c:f>FR_exemple!$AA$17:$AA$18</c:f>
              <c:numCache>
                <c:formatCode>General</c:formatCode>
                <c:ptCount val="2"/>
                <c:pt idx="0">
                  <c:v>0</c:v>
                </c:pt>
                <c:pt idx="1">
                  <c:v>-0.15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77C-41D3-A010-2EADA4AAAF1A}"/>
            </c:ext>
          </c:extLst>
        </c:ser>
        <c:ser>
          <c:idx val="2"/>
          <c:order val="3"/>
          <c:tx>
            <c:strRef>
              <c:f>FR_exemple!$P$15</c:f>
              <c:strCache>
                <c:ptCount val="1"/>
                <c:pt idx="0">
                  <c:v>Extrapolation aux rives</c:v>
                </c:pt>
              </c:strCache>
            </c:strRef>
          </c:tx>
          <c:spPr>
            <a:ln w="28440">
              <a:solidFill>
                <a:srgbClr val="0070C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FR_exemple!$Y$20:$Y$21</c:f>
              <c:numCache>
                <c:formatCode>General</c:formatCode>
                <c:ptCount val="2"/>
                <c:pt idx="0">
                  <c:v>3.6</c:v>
                </c:pt>
                <c:pt idx="1">
                  <c:v>3.6</c:v>
                </c:pt>
              </c:numCache>
            </c:numRef>
          </c:xVal>
          <c:yVal>
            <c:numRef>
              <c:f>FR_exemple!$AA$20:$AA$21</c:f>
              <c:numCache>
                <c:formatCode>General</c:formatCode>
                <c:ptCount val="2"/>
                <c:pt idx="0">
                  <c:v>0</c:v>
                </c:pt>
                <c:pt idx="1">
                  <c:v>-0.12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77C-41D3-A010-2EADA4AAAF1A}"/>
            </c:ext>
          </c:extLst>
        </c:ser>
        <c:ser>
          <c:idx val="3"/>
          <c:order val="4"/>
          <c:tx>
            <c:strRef>
              <c:f>FR_exemple!$I$15</c:f>
              <c:strCache>
                <c:ptCount val="1"/>
                <c:pt idx="0">
                  <c:v>Vitesse (m/s)</c:v>
                </c:pt>
              </c:strCache>
            </c:strRef>
          </c:tx>
          <c:spPr>
            <a:ln w="28440">
              <a:solidFill>
                <a:srgbClr val="BE4B48"/>
              </a:solidFill>
              <a:round/>
            </a:ln>
          </c:spPr>
          <c:marker>
            <c:symbol val="circle"/>
            <c:size val="11"/>
            <c:spPr>
              <a:noFill/>
              <a:ln>
                <a:solidFill>
                  <a:schemeClr val="tx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FR_exemple!$B$17:$B$42</c:f>
              <c:numCache>
                <c:formatCode>General</c:formatCode>
                <c:ptCount val="26"/>
                <c:pt idx="0">
                  <c:v>1.88</c:v>
                </c:pt>
                <c:pt idx="1">
                  <c:v>2.06</c:v>
                </c:pt>
                <c:pt idx="2">
                  <c:v>2.17</c:v>
                </c:pt>
                <c:pt idx="3">
                  <c:v>2.27</c:v>
                </c:pt>
                <c:pt idx="4">
                  <c:v>2.38</c:v>
                </c:pt>
                <c:pt idx="5">
                  <c:v>2.4900000000000002</c:v>
                </c:pt>
                <c:pt idx="6">
                  <c:v>2.6</c:v>
                </c:pt>
                <c:pt idx="7">
                  <c:v>2.71</c:v>
                </c:pt>
                <c:pt idx="8">
                  <c:v>2.82</c:v>
                </c:pt>
                <c:pt idx="9">
                  <c:v>2.93</c:v>
                </c:pt>
                <c:pt idx="10">
                  <c:v>3.04</c:v>
                </c:pt>
                <c:pt idx="11">
                  <c:v>3.15</c:v>
                </c:pt>
                <c:pt idx="12">
                  <c:v>3.26</c:v>
                </c:pt>
                <c:pt idx="13">
                  <c:v>3.42</c:v>
                </c:pt>
                <c:pt idx="14">
                  <c:v>3.6</c:v>
                </c:pt>
              </c:numCache>
            </c:numRef>
          </c:xVal>
          <c:yVal>
            <c:numRef>
              <c:f>FR_exemple!$W$17:$W$42</c:f>
              <c:numCache>
                <c:formatCode>General</c:formatCode>
                <c:ptCount val="26"/>
                <c:pt idx="0">
                  <c:v>#N/A</c:v>
                </c:pt>
                <c:pt idx="1">
                  <c:v>0.20092933255934736</c:v>
                </c:pt>
                <c:pt idx="2">
                  <c:v>0.20092933255934736</c:v>
                </c:pt>
                <c:pt idx="3">
                  <c:v>0.30472721210920772</c:v>
                </c:pt>
                <c:pt idx="4">
                  <c:v>0.23495251871166786</c:v>
                </c:pt>
                <c:pt idx="5">
                  <c:v>0.25035732212063588</c:v>
                </c:pt>
                <c:pt idx="6">
                  <c:v>0.13651352243454587</c:v>
                </c:pt>
                <c:pt idx="7">
                  <c:v>0.20092933255934736</c:v>
                </c:pt>
                <c:pt idx="8">
                  <c:v>0.13651352243454587</c:v>
                </c:pt>
                <c:pt idx="9">
                  <c:v>0.10797625935583392</c:v>
                </c:pt>
                <c:pt idx="10">
                  <c:v>0.26492754744828828</c:v>
                </c:pt>
                <c:pt idx="11">
                  <c:v>0.26492754744828828</c:v>
                </c:pt>
                <c:pt idx="12">
                  <c:v>0.39245010586947238</c:v>
                </c:pt>
                <c:pt idx="13">
                  <c:v>0.20092933255934736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77C-41D3-A010-2EADA4AAAF1A}"/>
            </c:ext>
          </c:extLst>
        </c:ser>
        <c:ser>
          <c:idx val="4"/>
          <c:order val="5"/>
          <c:tx>
            <c:strRef>
              <c:f>FR_exemple!$P$15</c:f>
              <c:strCache>
                <c:ptCount val="1"/>
                <c:pt idx="0">
                  <c:v>Extrapolation aux rives</c:v>
                </c:pt>
              </c:strCache>
            </c:strRef>
          </c:tx>
          <c:spPr>
            <a:ln w="28440">
              <a:solidFill>
                <a:srgbClr val="FFC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FR_exemple!$P$17:$P$42</c:f>
              <c:numCache>
                <c:formatCode>General</c:formatCode>
                <c:ptCount val="26"/>
                <c:pt idx="0">
                  <c:v>1.88</c:v>
                </c:pt>
                <c:pt idx="1">
                  <c:v>1.8872</c:v>
                </c:pt>
                <c:pt idx="2">
                  <c:v>1.8944000000000001</c:v>
                </c:pt>
                <c:pt idx="3">
                  <c:v>1.9016000000000002</c:v>
                </c:pt>
                <c:pt idx="4">
                  <c:v>1.9088000000000003</c:v>
                </c:pt>
                <c:pt idx="5">
                  <c:v>1.9160000000000004</c:v>
                </c:pt>
                <c:pt idx="6">
                  <c:v>1.9232000000000005</c:v>
                </c:pt>
                <c:pt idx="7">
                  <c:v>1.9304000000000006</c:v>
                </c:pt>
                <c:pt idx="8">
                  <c:v>1.9376000000000007</c:v>
                </c:pt>
                <c:pt idx="9">
                  <c:v>1.9448000000000008</c:v>
                </c:pt>
                <c:pt idx="10">
                  <c:v>1.9520000000000008</c:v>
                </c:pt>
                <c:pt idx="11">
                  <c:v>1.9592000000000009</c:v>
                </c:pt>
                <c:pt idx="12">
                  <c:v>1.966400000000001</c:v>
                </c:pt>
                <c:pt idx="13">
                  <c:v>1.9736000000000011</c:v>
                </c:pt>
                <c:pt idx="14">
                  <c:v>1.9808000000000012</c:v>
                </c:pt>
                <c:pt idx="15">
                  <c:v>1.9880000000000013</c:v>
                </c:pt>
                <c:pt idx="16">
                  <c:v>1.9952000000000014</c:v>
                </c:pt>
                <c:pt idx="17">
                  <c:v>2.0024000000000015</c:v>
                </c:pt>
                <c:pt idx="18">
                  <c:v>2.0096000000000016</c:v>
                </c:pt>
                <c:pt idx="19">
                  <c:v>2.0168000000000017</c:v>
                </c:pt>
                <c:pt idx="20">
                  <c:v>2.0240000000000018</c:v>
                </c:pt>
                <c:pt idx="21">
                  <c:v>2.0312000000000019</c:v>
                </c:pt>
                <c:pt idx="22">
                  <c:v>2.038400000000002</c:v>
                </c:pt>
                <c:pt idx="23">
                  <c:v>2.0456000000000021</c:v>
                </c:pt>
                <c:pt idx="24">
                  <c:v>2.0528000000000022</c:v>
                </c:pt>
                <c:pt idx="25">
                  <c:v>2.06</c:v>
                </c:pt>
              </c:numCache>
            </c:numRef>
          </c:xVal>
          <c:yVal>
            <c:numRef>
              <c:f>FR_exemple!$Q$17:$Q$42</c:f>
              <c:numCache>
                <c:formatCode>General</c:formatCode>
                <c:ptCount val="26"/>
                <c:pt idx="0">
                  <c:v>0</c:v>
                </c:pt>
                <c:pt idx="1">
                  <c:v>4.1162877386811146E-2</c:v>
                </c:pt>
                <c:pt idx="2">
                  <c:v>5.7912755699491364E-2</c:v>
                </c:pt>
                <c:pt idx="3">
                  <c:v>7.0714055718629404E-2</c:v>
                </c:pt>
                <c:pt idx="4">
                  <c:v>8.147844576539677E-2</c:v>
                </c:pt>
                <c:pt idx="5">
                  <c:v>9.0944100850765847E-2</c:v>
                </c:pt>
                <c:pt idx="6">
                  <c:v>9.9488813545997326E-2</c:v>
                </c:pt>
                <c:pt idx="7">
                  <c:v>0.10733665170201175</c:v>
                </c:pt>
                <c:pt idx="8">
                  <c:v>0.11463341787417325</c:v>
                </c:pt>
                <c:pt idx="9">
                  <c:v>0.12148027527783101</c:v>
                </c:pt>
                <c:pt idx="10">
                  <c:v>0.12795080978881787</c:v>
                </c:pt>
                <c:pt idx="11">
                  <c:v>0.13410052582713122</c:v>
                </c:pt>
                <c:pt idx="12">
                  <c:v>0.1399725121151921</c:v>
                </c:pt>
                <c:pt idx="13">
                  <c:v>0.14560101130211597</c:v>
                </c:pt>
                <c:pt idx="14">
                  <c:v>0.15101376974224104</c:v>
                </c:pt>
                <c:pt idx="15">
                  <c:v>0.1562336411618846</c:v>
                </c:pt>
                <c:pt idx="16">
                  <c:v>0.16127971477697994</c:v>
                </c:pt>
                <c:pt idx="17">
                  <c:v>0.16616812960595151</c:v>
                </c:pt>
                <c:pt idx="18">
                  <c:v>0.17091267547603772</c:v>
                </c:pt>
                <c:pt idx="19">
                  <c:v>0.175525245268559</c:v>
                </c:pt>
                <c:pt idx="20">
                  <c:v>0.18001618106576056</c:v>
                </c:pt>
                <c:pt idx="21">
                  <c:v>0.18439454311663661</c:v>
                </c:pt>
                <c:pt idx="22">
                  <c:v>0.18866832166325428</c:v>
                </c:pt>
                <c:pt idx="23">
                  <c:v>0.19284460579540177</c:v>
                </c:pt>
                <c:pt idx="24">
                  <c:v>0.19692971952851113</c:v>
                </c:pt>
                <c:pt idx="25">
                  <c:v>0.20092933255934736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77C-41D3-A010-2EADA4AAAF1A}"/>
            </c:ext>
          </c:extLst>
        </c:ser>
        <c:ser>
          <c:idx val="5"/>
          <c:order val="6"/>
          <c:tx>
            <c:strRef>
              <c:f>FR_exemple!$P$15</c:f>
              <c:strCache>
                <c:ptCount val="1"/>
                <c:pt idx="0">
                  <c:v>Extrapolation aux rives</c:v>
                </c:pt>
              </c:strCache>
            </c:strRef>
          </c:tx>
          <c:spPr>
            <a:ln w="28440">
              <a:solidFill>
                <a:srgbClr val="FFC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FR_exemple!$T$17:$T$42</c:f>
              <c:numCache>
                <c:formatCode>General</c:formatCode>
                <c:ptCount val="26"/>
                <c:pt idx="0">
                  <c:v>3.6</c:v>
                </c:pt>
                <c:pt idx="1">
                  <c:v>3.5928</c:v>
                </c:pt>
                <c:pt idx="2">
                  <c:v>3.5855999999999999</c:v>
                </c:pt>
                <c:pt idx="3">
                  <c:v>3.5783999999999998</c:v>
                </c:pt>
                <c:pt idx="4">
                  <c:v>3.5711999999999997</c:v>
                </c:pt>
                <c:pt idx="5">
                  <c:v>3.5639999999999996</c:v>
                </c:pt>
                <c:pt idx="6">
                  <c:v>3.5567999999999995</c:v>
                </c:pt>
                <c:pt idx="7">
                  <c:v>3.5495999999999994</c:v>
                </c:pt>
                <c:pt idx="8">
                  <c:v>3.5423999999999993</c:v>
                </c:pt>
                <c:pt idx="9">
                  <c:v>3.5351999999999992</c:v>
                </c:pt>
                <c:pt idx="10">
                  <c:v>3.5279999999999991</c:v>
                </c:pt>
                <c:pt idx="11">
                  <c:v>3.520799999999999</c:v>
                </c:pt>
                <c:pt idx="12">
                  <c:v>3.5135999999999989</c:v>
                </c:pt>
                <c:pt idx="13">
                  <c:v>3.5063999999999989</c:v>
                </c:pt>
                <c:pt idx="14">
                  <c:v>3.4991999999999988</c:v>
                </c:pt>
                <c:pt idx="15">
                  <c:v>3.4919999999999987</c:v>
                </c:pt>
                <c:pt idx="16">
                  <c:v>3.4847999999999986</c:v>
                </c:pt>
                <c:pt idx="17">
                  <c:v>3.4775999999999985</c:v>
                </c:pt>
                <c:pt idx="18">
                  <c:v>3.4703999999999984</c:v>
                </c:pt>
                <c:pt idx="19">
                  <c:v>3.4631999999999983</c:v>
                </c:pt>
                <c:pt idx="20">
                  <c:v>3.4559999999999982</c:v>
                </c:pt>
                <c:pt idx="21">
                  <c:v>3.4487999999999981</c:v>
                </c:pt>
                <c:pt idx="22">
                  <c:v>3.441599999999998</c:v>
                </c:pt>
                <c:pt idx="23">
                  <c:v>3.4343999999999979</c:v>
                </c:pt>
                <c:pt idx="24">
                  <c:v>3.4271999999999978</c:v>
                </c:pt>
                <c:pt idx="25">
                  <c:v>3.42</c:v>
                </c:pt>
              </c:numCache>
            </c:numRef>
          </c:xVal>
          <c:yVal>
            <c:numRef>
              <c:f>FR_exemple!$U$17:$U$42</c:f>
              <c:numCache>
                <c:formatCode>General</c:formatCode>
                <c:ptCount val="26"/>
                <c:pt idx="0">
                  <c:v>0</c:v>
                </c:pt>
                <c:pt idx="1">
                  <c:v>0.11897938296138279</c:v>
                </c:pt>
                <c:pt idx="2">
                  <c:v>0.1331915261767091</c:v>
                </c:pt>
                <c:pt idx="3">
                  <c:v>0.14227959301461168</c:v>
                </c:pt>
                <c:pt idx="4">
                  <c:v>0.14910131657884682</c:v>
                </c:pt>
                <c:pt idx="5">
                  <c:v>0.1546171012752266</c:v>
                </c:pt>
                <c:pt idx="6">
                  <c:v>0.15927495727194954</c:v>
                </c:pt>
                <c:pt idx="7">
                  <c:v>0.16332242205377362</c:v>
                </c:pt>
                <c:pt idx="8">
                  <c:v>0.16691153892215865</c:v>
                </c:pt>
                <c:pt idx="9">
                  <c:v>0.17014277671093631</c:v>
                </c:pt>
                <c:pt idx="10">
                  <c:v>0.17308618669295278</c:v>
                </c:pt>
                <c:pt idx="11">
                  <c:v>0.17579266662680992</c:v>
                </c:pt>
                <c:pt idx="12">
                  <c:v>0.17830042577768751</c:v>
                </c:pt>
                <c:pt idx="13">
                  <c:v>0.18063891989807013</c:v>
                </c:pt>
                <c:pt idx="14">
                  <c:v>0.18283136213001844</c:v>
                </c:pt>
                <c:pt idx="15">
                  <c:v>0.18489638872709918</c:v>
                </c:pt>
                <c:pt idx="16">
                  <c:v>0.1868492006952254</c:v>
                </c:pt>
                <c:pt idx="17">
                  <c:v>0.18870236824536021</c:v>
                </c:pt>
                <c:pt idx="18">
                  <c:v>0.19046641135656187</c:v>
                </c:pt>
                <c:pt idx="19">
                  <c:v>0.19215022757176609</c:v>
                </c:pt>
                <c:pt idx="20">
                  <c:v>0.1937614130443398</c:v>
                </c:pt>
                <c:pt idx="21">
                  <c:v>0.19530650740989081</c:v>
                </c:pt>
                <c:pt idx="22">
                  <c:v>0.1967911832783481</c:v>
                </c:pt>
                <c:pt idx="23">
                  <c:v>0.19822039478781078</c:v>
                </c:pt>
                <c:pt idx="24">
                  <c:v>0.19959849543845073</c:v>
                </c:pt>
                <c:pt idx="25">
                  <c:v>0.20092933255934736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77C-41D3-A010-2EADA4AAAF1A}"/>
            </c:ext>
          </c:extLst>
        </c:ser>
        <c:ser>
          <c:idx val="6"/>
          <c:order val="7"/>
          <c:tx>
            <c:strRef>
              <c:f>FR_exemple!$M$15</c:f>
              <c:strCache>
                <c:ptCount val="1"/>
                <c:pt idx="0">
                  <c:v>% débit total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141EAD40-2F6E-433B-8DF8-C2451DAE42E0}" type="CELLRANGE">
                      <a:rPr lang="en-US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177C-41D3-A010-2EADA4AAAF1A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1D3E28CE-A66A-4996-A7B0-AEEE2CEC265C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77C-41D3-A010-2EADA4AAAF1A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662D0CCD-6766-4726-9F9B-5B25D4F14328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77C-41D3-A010-2EADA4AAAF1A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F4752987-AB6F-41F3-91F9-F4777BC7EDC7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77C-41D3-A010-2EADA4AAAF1A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200361AB-3EDA-4EC8-8CAC-10DE41188385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77C-41D3-A010-2EADA4AAAF1A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BB760C4E-6DD4-4944-8A8E-97D12C714F13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177C-41D3-A010-2EADA4AAAF1A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2DF0EC73-BAFB-40FC-9A69-34681905BEED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177C-41D3-A010-2EADA4AAAF1A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69F2CEFB-A7B0-45FF-89DD-3C11A7DF3072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77C-41D3-A010-2EADA4AAAF1A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C8F18A12-D57B-4D4E-B76D-B17871DF8606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77C-41D3-A010-2EADA4AAAF1A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109A6708-AB51-466F-9EC2-AB36D0DDD431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177C-41D3-A010-2EADA4AAAF1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7C-41D3-A010-2EADA4AAAF1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7C-41D3-A010-2EADA4AAAF1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7C-41D3-A010-2EADA4AAAF1A}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40AEFE11-463C-4950-BDF6-EE23D8E151B6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177C-41D3-A010-2EADA4AAAF1A}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F2A98D57-BB3F-4D4C-B278-E021151B6B48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177C-41D3-A010-2EADA4AAAF1A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7C-41D3-A010-2EADA4AAAF1A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7C-41D3-A010-2EADA4AAAF1A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7C-41D3-A010-2EADA4AAAF1A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7C-41D3-A010-2EADA4AAAF1A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7C-41D3-A010-2EADA4AAAF1A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7C-41D3-A010-2EADA4AAAF1A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7C-41D3-A010-2EADA4AAAF1A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7C-41D3-A010-2EADA4AAAF1A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7C-41D3-A010-2EADA4AAAF1A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7C-41D3-A010-2EADA4AAAF1A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77C-41D3-A010-2EADA4AAAF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rgbClr val="92D05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xVal>
            <c:numRef>
              <c:f>FR_exemple!$AC$17:$AC$42</c:f>
              <c:numCache>
                <c:formatCode>General</c:formatCode>
                <c:ptCount val="26"/>
                <c:pt idx="0">
                  <c:v>1.88</c:v>
                </c:pt>
                <c:pt idx="1">
                  <c:v>2.06</c:v>
                </c:pt>
                <c:pt idx="2">
                  <c:v>2.17</c:v>
                </c:pt>
                <c:pt idx="3">
                  <c:v>2.27</c:v>
                </c:pt>
                <c:pt idx="4">
                  <c:v>2.38</c:v>
                </c:pt>
                <c:pt idx="5">
                  <c:v>2.4900000000000002</c:v>
                </c:pt>
                <c:pt idx="6">
                  <c:v>2.6</c:v>
                </c:pt>
                <c:pt idx="7">
                  <c:v>2.71</c:v>
                </c:pt>
                <c:pt idx="8">
                  <c:v>2.82</c:v>
                </c:pt>
                <c:pt idx="9">
                  <c:v>2.93</c:v>
                </c:pt>
                <c:pt idx="10">
                  <c:v>3.04</c:v>
                </c:pt>
                <c:pt idx="11">
                  <c:v>3.15</c:v>
                </c:pt>
                <c:pt idx="12">
                  <c:v>3.26</c:v>
                </c:pt>
                <c:pt idx="13">
                  <c:v>3.42</c:v>
                </c:pt>
                <c:pt idx="14">
                  <c:v>3.6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FR_exemple!$AD$17:$AD$42</c:f>
              <c:numCache>
                <c:formatCode>0.000</c:formatCode>
                <c:ptCount val="26"/>
                <c:pt idx="0">
                  <c:v>6.8315973070178115E-2</c:v>
                </c:pt>
                <c:pt idx="1">
                  <c:v>0.20092933255934736</c:v>
                </c:pt>
                <c:pt idx="2">
                  <c:v>0.20092933255934736</c:v>
                </c:pt>
                <c:pt idx="3">
                  <c:v>0.30472721210920772</c:v>
                </c:pt>
                <c:pt idx="4">
                  <c:v>0.23495251871166786</c:v>
                </c:pt>
                <c:pt idx="5">
                  <c:v>0.25035732212063588</c:v>
                </c:pt>
                <c:pt idx="6">
                  <c:v>0.13651352243454587</c:v>
                </c:pt>
                <c:pt idx="7">
                  <c:v>0.20092933255934736</c:v>
                </c:pt>
                <c:pt idx="8">
                  <c:v>0.13651352243454587</c:v>
                </c:pt>
                <c:pt idx="9">
                  <c:v>0.10797625935583392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0.20092933255934736</c:v>
                </c:pt>
                <c:pt idx="14">
                  <c:v>0.14466911944273009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FR_exemple!$AG$17:$AG$42</c15:f>
                <c15:dlblRangeCache>
                  <c:ptCount val="26"/>
                  <c:pt idx="0">
                    <c:v>1 %</c:v>
                  </c:pt>
                  <c:pt idx="1">
                    <c:v>5 %</c:v>
                  </c:pt>
                  <c:pt idx="2">
                    <c:v>4 %</c:v>
                  </c:pt>
                  <c:pt idx="3">
                    <c:v>8 %</c:v>
                  </c:pt>
                  <c:pt idx="4">
                    <c:v>8 %</c:v>
                  </c:pt>
                  <c:pt idx="5">
                    <c:v>10 %</c:v>
                  </c:pt>
                  <c:pt idx="6">
                    <c:v>5 %</c:v>
                  </c:pt>
                  <c:pt idx="7">
                    <c:v>7 %</c:v>
                  </c:pt>
                  <c:pt idx="8">
                    <c:v>5 %</c:v>
                  </c:pt>
                  <c:pt idx="9">
                    <c:v>4 %</c:v>
                  </c:pt>
                  <c:pt idx="10">
                    <c:v>#N/A</c:v>
                  </c:pt>
                  <c:pt idx="11">
                    <c:v>#N/A</c:v>
                  </c:pt>
                  <c:pt idx="12">
                    <c:v>#N/A</c:v>
                  </c:pt>
                  <c:pt idx="13">
                    <c:v>5 %</c:v>
                  </c:pt>
                  <c:pt idx="14">
                    <c:v>2 %</c:v>
                  </c:pt>
                  <c:pt idx="15">
                    <c:v>0 %</c:v>
                  </c:pt>
                  <c:pt idx="16">
                    <c:v>0 %</c:v>
                  </c:pt>
                  <c:pt idx="17">
                    <c:v>0 %</c:v>
                  </c:pt>
                  <c:pt idx="18">
                    <c:v>0 %</c:v>
                  </c:pt>
                  <c:pt idx="19">
                    <c:v>0 %</c:v>
                  </c:pt>
                  <c:pt idx="20">
                    <c:v>0 %</c:v>
                  </c:pt>
                  <c:pt idx="21">
                    <c:v>0 %</c:v>
                  </c:pt>
                  <c:pt idx="22">
                    <c:v>0 %</c:v>
                  </c:pt>
                  <c:pt idx="23">
                    <c:v>0 %</c:v>
                  </c:pt>
                  <c:pt idx="24">
                    <c:v>0 %</c:v>
                  </c:pt>
                  <c:pt idx="25">
                    <c:v>0 %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0-177C-41D3-A010-2EADA4AAAF1A}"/>
            </c:ext>
          </c:extLst>
        </c:ser>
        <c:ser>
          <c:idx val="7"/>
          <c:order val="8"/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77C-41D3-A010-2EADA4AAAF1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77C-41D3-A010-2EADA4AAAF1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77C-41D3-A010-2EADA4AAAF1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77C-41D3-A010-2EADA4AAAF1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77C-41D3-A010-2EADA4AAAF1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77C-41D3-A010-2EADA4AAAF1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77C-41D3-A010-2EADA4AAAF1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77C-41D3-A010-2EADA4AAAF1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fr-F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77C-41D3-A010-2EADA4AAAF1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fr-F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77C-41D3-A010-2EADA4AAAF1A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DF856E3E-784C-4FAB-8500-5DA83C10130C}" type="CELLRANGE">
                      <a:rPr lang="en-US"/>
                      <a:pPr/>
                      <a:t>[PLAGECELL]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177C-41D3-A010-2EADA4AAAF1A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490921B0-07BC-4770-8E89-38B49FADA9A0}" type="CELLRANGE">
                      <a:rPr lang="en-US"/>
                      <a:pPr/>
                      <a:t>[PLAGECELL]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177C-41D3-A010-2EADA4AAAF1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77C-41D3-A010-2EADA4AAAF1A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77C-41D3-A010-2EADA4AAAF1A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77C-41D3-A010-2EADA4AAAF1A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77C-41D3-A010-2EADA4AAAF1A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77C-41D3-A010-2EADA4AAAF1A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77C-41D3-A010-2EADA4AAAF1A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77C-41D3-A010-2EADA4AAAF1A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77C-41D3-A010-2EADA4AAAF1A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77C-41D3-A010-2EADA4AAAF1A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77C-41D3-A010-2EADA4AAAF1A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77C-41D3-A010-2EADA4AAAF1A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77C-41D3-A010-2EADA4AAAF1A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77C-41D3-A010-2EADA4AAAF1A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77C-41D3-A010-2EADA4AAAF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rgbClr val="FFC00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FR_exemple!$AC$17:$AC$42</c:f>
              <c:numCache>
                <c:formatCode>General</c:formatCode>
                <c:ptCount val="26"/>
                <c:pt idx="0">
                  <c:v>1.88</c:v>
                </c:pt>
                <c:pt idx="1">
                  <c:v>2.06</c:v>
                </c:pt>
                <c:pt idx="2">
                  <c:v>2.17</c:v>
                </c:pt>
                <c:pt idx="3">
                  <c:v>2.27</c:v>
                </c:pt>
                <c:pt idx="4">
                  <c:v>2.38</c:v>
                </c:pt>
                <c:pt idx="5">
                  <c:v>2.4900000000000002</c:v>
                </c:pt>
                <c:pt idx="6">
                  <c:v>2.6</c:v>
                </c:pt>
                <c:pt idx="7">
                  <c:v>2.71</c:v>
                </c:pt>
                <c:pt idx="8">
                  <c:v>2.82</c:v>
                </c:pt>
                <c:pt idx="9">
                  <c:v>2.93</c:v>
                </c:pt>
                <c:pt idx="10">
                  <c:v>3.04</c:v>
                </c:pt>
                <c:pt idx="11">
                  <c:v>3.15</c:v>
                </c:pt>
                <c:pt idx="12">
                  <c:v>3.26</c:v>
                </c:pt>
                <c:pt idx="13">
                  <c:v>3.42</c:v>
                </c:pt>
                <c:pt idx="14">
                  <c:v>3.6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FR_exemple!$AE$17:$AE$42</c:f>
              <c:numCache>
                <c:formatCode>0.000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0.26492754744828828</c:v>
                </c:pt>
                <c:pt idx="11">
                  <c:v>0.26492754744828828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FR_exemple!$AH$17:$AH$42</c15:f>
                <c15:dlblRangeCache>
                  <c:ptCount val="26"/>
                  <c:pt idx="0">
                    <c:v>#N/A</c:v>
                  </c:pt>
                  <c:pt idx="1">
                    <c:v>#N/A</c:v>
                  </c:pt>
                  <c:pt idx="2">
                    <c:v>#N/A</c:v>
                  </c:pt>
                  <c:pt idx="3">
                    <c:v>#N/A</c:v>
                  </c:pt>
                  <c:pt idx="4">
                    <c:v>#N/A</c:v>
                  </c:pt>
                  <c:pt idx="5">
                    <c:v>#N/A</c:v>
                  </c:pt>
                  <c:pt idx="6">
                    <c:v>#N/A</c:v>
                  </c:pt>
                  <c:pt idx="7">
                    <c:v>#N/A</c:v>
                  </c:pt>
                  <c:pt idx="8">
                    <c:v>#N/A</c:v>
                  </c:pt>
                  <c:pt idx="9">
                    <c:v>#N/A</c:v>
                  </c:pt>
                  <c:pt idx="10">
                    <c:v>10 %</c:v>
                  </c:pt>
                  <c:pt idx="11">
                    <c:v>10 %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B-177C-41D3-A010-2EADA4AAAF1A}"/>
            </c:ext>
          </c:extLst>
        </c:ser>
        <c:ser>
          <c:idx val="8"/>
          <c:order val="9"/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77C-41D3-A010-2EADA4AAAF1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77C-41D3-A010-2EADA4AAAF1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77C-41D3-A010-2EADA4AAAF1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77C-41D3-A010-2EADA4AAAF1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77C-41D3-A010-2EADA4AAAF1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77C-41D3-A010-2EADA4AAAF1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77C-41D3-A010-2EADA4AAAF1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77C-41D3-A010-2EADA4AAAF1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77C-41D3-A010-2EADA4AAAF1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77C-41D3-A010-2EADA4AAAF1A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fr-F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77C-41D3-A010-2EADA4AAAF1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77C-41D3-A010-2EADA4AAAF1A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1AC15A93-42AE-45A6-B8EB-2F675C5875A6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8-177C-41D3-A010-2EADA4AAAF1A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77C-41D3-A010-2EADA4AAAF1A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77C-41D3-A010-2EADA4AAAF1A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77C-41D3-A010-2EADA4AAAF1A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77C-41D3-A010-2EADA4AAAF1A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77C-41D3-A010-2EADA4AAAF1A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77C-41D3-A010-2EADA4AAAF1A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77C-41D3-A010-2EADA4AAAF1A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77C-41D3-A010-2EADA4AAAF1A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77C-41D3-A010-2EADA4AAAF1A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77C-41D3-A010-2EADA4AAAF1A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77C-41D3-A010-2EADA4AAAF1A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77C-41D3-A010-2EADA4AAAF1A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77C-41D3-A010-2EADA4AAAF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rgbClr val="FF000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xVal>
            <c:numRef>
              <c:f>FR_exemple!$AC$17:$AC$42</c:f>
              <c:numCache>
                <c:formatCode>General</c:formatCode>
                <c:ptCount val="26"/>
                <c:pt idx="0">
                  <c:v>1.88</c:v>
                </c:pt>
                <c:pt idx="1">
                  <c:v>2.06</c:v>
                </c:pt>
                <c:pt idx="2">
                  <c:v>2.17</c:v>
                </c:pt>
                <c:pt idx="3">
                  <c:v>2.27</c:v>
                </c:pt>
                <c:pt idx="4">
                  <c:v>2.38</c:v>
                </c:pt>
                <c:pt idx="5">
                  <c:v>2.4900000000000002</c:v>
                </c:pt>
                <c:pt idx="6">
                  <c:v>2.6</c:v>
                </c:pt>
                <c:pt idx="7">
                  <c:v>2.71</c:v>
                </c:pt>
                <c:pt idx="8">
                  <c:v>2.82</c:v>
                </c:pt>
                <c:pt idx="9">
                  <c:v>2.93</c:v>
                </c:pt>
                <c:pt idx="10">
                  <c:v>3.04</c:v>
                </c:pt>
                <c:pt idx="11">
                  <c:v>3.15</c:v>
                </c:pt>
                <c:pt idx="12">
                  <c:v>3.26</c:v>
                </c:pt>
                <c:pt idx="13">
                  <c:v>3.42</c:v>
                </c:pt>
                <c:pt idx="14">
                  <c:v>3.6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FR_exemple!$AF$17:$AF$42</c:f>
              <c:numCache>
                <c:formatCode>0.000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0.39245010586947238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FR_exemple!$AI$17:$AI$42</c15:f>
                <c15:dlblRangeCache>
                  <c:ptCount val="26"/>
                  <c:pt idx="0">
                    <c:v>#N/A</c:v>
                  </c:pt>
                  <c:pt idx="1">
                    <c:v>#N/A</c:v>
                  </c:pt>
                  <c:pt idx="2">
                    <c:v>#N/A</c:v>
                  </c:pt>
                  <c:pt idx="3">
                    <c:v>#N/A</c:v>
                  </c:pt>
                  <c:pt idx="4">
                    <c:v>#N/A</c:v>
                  </c:pt>
                  <c:pt idx="5">
                    <c:v>#N/A</c:v>
                  </c:pt>
                  <c:pt idx="6">
                    <c:v>#N/A</c:v>
                  </c:pt>
                  <c:pt idx="7">
                    <c:v>#N/A</c:v>
                  </c:pt>
                  <c:pt idx="8">
                    <c:v>#N/A</c:v>
                  </c:pt>
                  <c:pt idx="9">
                    <c:v>#N/A</c:v>
                  </c:pt>
                  <c:pt idx="10">
                    <c:v>#N/A</c:v>
                  </c:pt>
                  <c:pt idx="11">
                    <c:v>#N/A</c:v>
                  </c:pt>
                  <c:pt idx="12">
                    <c:v>15 %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6-177C-41D3-A010-2EADA4AAA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082111"/>
        <c:axId val="97803899"/>
      </c:scatterChart>
      <c:valAx>
        <c:axId val="94082111"/>
        <c:scaling>
          <c:orientation val="minMax"/>
          <c:min val="1.8"/>
        </c:scaling>
        <c:delete val="0"/>
        <c:axPos val="b"/>
        <c:title>
          <c:tx>
            <c:rich>
              <a:bodyPr rot="0"/>
              <a:lstStyle/>
              <a:p>
                <a:pPr>
                  <a:defRPr lang="en-NZ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NZ" sz="1400" b="1" strike="noStrike" spc="-1">
                    <a:solidFill>
                      <a:srgbClr val="000000"/>
                    </a:solidFill>
                    <a:latin typeface="Calibri"/>
                  </a:rPr>
                  <a:t>Abscisse en travers [m]</a:t>
                </a:r>
              </a:p>
            </c:rich>
          </c:tx>
          <c:layout/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4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7803899"/>
        <c:crosses val="autoZero"/>
        <c:crossBetween val="midCat"/>
      </c:valAx>
      <c:valAx>
        <c:axId val="9780389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NZ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NZ" sz="1400" b="1" strike="noStrike" spc="-1">
                    <a:solidFill>
                      <a:srgbClr val="0070C0"/>
                    </a:solidFill>
                    <a:latin typeface="Calibri"/>
                  </a:rPr>
                  <a:t>Profondeur [m]</a:t>
                </a:r>
                <a:r>
                  <a:rPr lang="en-NZ" sz="1000" b="1" strike="noStrike" spc="-1">
                    <a:solidFill>
                      <a:srgbClr val="000000"/>
                    </a:solidFill>
                    <a:latin typeface="Calibri"/>
                  </a:rPr>
                  <a:t>	</a:t>
                </a:r>
                <a:r>
                  <a:rPr lang="en-NZ" sz="1400" b="1" strike="noStrike" spc="-1">
                    <a:solidFill>
                      <a:srgbClr val="C00000"/>
                    </a:solidFill>
                    <a:latin typeface="Calibri"/>
                  </a:rPr>
                  <a:t>Vitesse [m/s]</a:t>
                </a:r>
              </a:p>
              <a:p>
                <a:pPr>
                  <a:defRPr lang="en-NZ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NZ" sz="1000" b="1" strike="noStrike" spc="-1">
                  <a:solidFill>
                    <a:srgbClr val="000000"/>
                  </a:solidFill>
                  <a:latin typeface="Calibri"/>
                </a:endParaRPr>
              </a:p>
            </c:rich>
          </c:tx>
          <c:layout/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4082111"/>
        <c:crosses val="autoZero"/>
        <c:crossBetween val="midCat"/>
      </c:valAx>
      <c:spPr>
        <a:solidFill>
          <a:srgbClr val="FFFFFF"/>
        </a:solidFill>
        <a:ln>
          <a:noFill/>
        </a:ln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legendEntry>
        <c:idx val="6"/>
        <c:delete val="1"/>
      </c:legendEntry>
      <c:legendEntry>
        <c:idx val="8"/>
        <c:delete val="1"/>
      </c:legendEntry>
      <c:legendEntry>
        <c:idx val="9"/>
        <c:delete val="1"/>
      </c:legendEntry>
      <c:layout/>
      <c:overlay val="0"/>
      <c:spPr>
        <a:noFill/>
        <a:ln>
          <a:noFill/>
        </a:ln>
      </c:spPr>
      <c:txPr>
        <a:bodyPr/>
        <a:lstStyle/>
        <a:p>
          <a:pPr>
            <a:defRPr sz="14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span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/>
              <a:t>Bilan d'incertitude (Flaure)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77C-4E2C-B3C8-90180BD40E0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77C-4E2C-B3C8-90180BD40E0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77C-4E2C-B3C8-90180BD40E0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77C-4E2C-B3C8-90180BD40E0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77C-4E2C-B3C8-90180BD40E0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77C-4E2C-B3C8-90180BD40E0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77C-4E2C-B3C8-90180BD40E0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77C-4E2C-B3C8-90180BD40E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FR_exemple!$BA$4:$BA$12</c15:sqref>
                  </c15:fullRef>
                </c:ext>
              </c:extLst>
              <c:f>FR_exemple!$BA$4:$BA$11</c:f>
              <c:strCache>
                <c:ptCount val="6"/>
                <c:pt idx="0">
                  <c:v>erreurs systématiques</c:v>
                </c:pt>
                <c:pt idx="1">
                  <c:v>mesures de largeur</c:v>
                </c:pt>
                <c:pt idx="2">
                  <c:v>mesures de profondeur</c:v>
                </c:pt>
                <c:pt idx="3">
                  <c:v>lecture de la charge</c:v>
                </c:pt>
                <c:pt idx="4">
                  <c:v>Coefficients de rives</c:v>
                </c:pt>
                <c:pt idx="5">
                  <c:v>Intégration latérale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FR_exemple!$BB$4:$BB$9</c15:sqref>
                  </c15:fullRef>
                </c:ext>
              </c:extLst>
              <c:f>FR_exemple!$BB$4:$BB$9</c:f>
              <c:numCache>
                <c:formatCode>0\ %</c:formatCode>
                <c:ptCount val="6"/>
                <c:pt idx="0">
                  <c:v>1.2607576489441026E-2</c:v>
                </c:pt>
                <c:pt idx="1">
                  <c:v>7.8789825956568915E-2</c:v>
                </c:pt>
                <c:pt idx="2">
                  <c:v>3.4493244957506481E-3</c:v>
                </c:pt>
                <c:pt idx="3">
                  <c:v>6.1381567855272517E-2</c:v>
                </c:pt>
                <c:pt idx="4">
                  <c:v>3.4367738068770951E-4</c:v>
                </c:pt>
                <c:pt idx="5">
                  <c:v>0.84342802782227955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77C-4E2C-B3C8-90180BD40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2802455936556469"/>
          <c:y val="0.18548256369145161"/>
          <c:w val="0.45482781147419432"/>
          <c:h val="0.751106347924501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000"/>
              <a:t>Bilan d'incertitude </a:t>
            </a:r>
            <a:r>
              <a:rPr lang="fr-FR" sz="2000" baseline="0"/>
              <a:t>(Q+)</a:t>
            </a:r>
            <a:endParaRPr lang="fr-FR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A28-4A94-B048-5517442ED53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A28-4A94-B048-5517442ED53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A28-4A94-B048-5517442ED53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A28-4A94-B048-5517442ED53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A28-4A94-B048-5517442ED53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A28-4A94-B048-5517442ED53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A28-4A94-B048-5517442ED53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A28-4A94-B048-5517442ED53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A28-4A94-B048-5517442ED5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FR_exemple!$AD$4:$AD$10</c:f>
              <c:strCache>
                <c:ptCount val="7"/>
                <c:pt idx="0">
                  <c:v>erreurs systématiques</c:v>
                </c:pt>
                <c:pt idx="1">
                  <c:v>mesures de largeur</c:v>
                </c:pt>
                <c:pt idx="2">
                  <c:v>mesures de profondeur</c:v>
                </c:pt>
                <c:pt idx="3">
                  <c:v>lecture de la charge</c:v>
                </c:pt>
                <c:pt idx="4">
                  <c:v>Coefficients de rives</c:v>
                </c:pt>
                <c:pt idx="5">
                  <c:v>Intégration latérale (profondeurs)</c:v>
                </c:pt>
                <c:pt idx="6">
                  <c:v>Integration latérale (vitesses)</c:v>
                </c:pt>
              </c:strCache>
            </c:strRef>
          </c:cat>
          <c:val>
            <c:numRef>
              <c:f>FR_exemple!$AE$4:$AE$10</c:f>
              <c:numCache>
                <c:formatCode>0\ %</c:formatCode>
                <c:ptCount val="7"/>
                <c:pt idx="0">
                  <c:v>7.8320960250139834E-2</c:v>
                </c:pt>
                <c:pt idx="1">
                  <c:v>0.48945924159397786</c:v>
                </c:pt>
                <c:pt idx="2">
                  <c:v>2.1427941123163301E-2</c:v>
                </c:pt>
                <c:pt idx="3">
                  <c:v>0.38131542093838255</c:v>
                </c:pt>
                <c:pt idx="4">
                  <c:v>2.1349973560943814E-3</c:v>
                </c:pt>
                <c:pt idx="5">
                  <c:v>2.1862552545020997E-2</c:v>
                </c:pt>
                <c:pt idx="6">
                  <c:v>5.4788861932208834E-3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A28-4A94-B048-5517442ED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481856172289999"/>
          <c:y val="0.23641732026143791"/>
          <c:w val="0.45431405261354918"/>
          <c:h val="0.665848692810457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/>
              <a:t>Bilan d'incertitude (ISO748)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E99-487D-B546-DE61B71565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E99-487D-B546-DE61B715656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E99-487D-B546-DE61B715656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E99-487D-B546-DE61B715656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E99-487D-B546-DE61B715656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E99-487D-B546-DE61B715656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E99-487D-B546-DE61B715656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E99-487D-B546-DE61B71565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FR_exemple!$BA$4:$BA$12</c15:sqref>
                  </c15:fullRef>
                </c:ext>
              </c:extLst>
              <c:f>FR_exemple!$BA$4:$BA$11</c:f>
              <c:strCache>
                <c:ptCount val="6"/>
                <c:pt idx="0">
                  <c:v>erreurs systématiques</c:v>
                </c:pt>
                <c:pt idx="1">
                  <c:v>mesures de largeur</c:v>
                </c:pt>
                <c:pt idx="2">
                  <c:v>mesures de profondeur</c:v>
                </c:pt>
                <c:pt idx="3">
                  <c:v>lecture de la charge</c:v>
                </c:pt>
                <c:pt idx="4">
                  <c:v>Coefficients de rives</c:v>
                </c:pt>
                <c:pt idx="5">
                  <c:v>Intégration latérale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FR_exemple!$AR$4:$AR$9</c15:sqref>
                  </c15:fullRef>
                </c:ext>
              </c:extLst>
              <c:f>FR_exemple!$AR$4:$AR$9</c:f>
              <c:numCache>
                <c:formatCode>0\ %</c:formatCode>
                <c:ptCount val="6"/>
                <c:pt idx="0">
                  <c:v>4.231397115766327E-2</c:v>
                </c:pt>
                <c:pt idx="1">
                  <c:v>0.26443705702168452</c:v>
                </c:pt>
                <c:pt idx="2">
                  <c:v>1.1576738586424822E-2</c:v>
                </c:pt>
                <c:pt idx="3">
                  <c:v>0.20601087719082375</c:v>
                </c:pt>
                <c:pt idx="4">
                  <c:v>1.1534615543391999E-3</c:v>
                </c:pt>
                <c:pt idx="5">
                  <c:v>0.4745078944890645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E99-487D-B546-DE61B7156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2802455936556469"/>
          <c:y val="0.18548256369145161"/>
          <c:w val="0.45482781147419432"/>
          <c:h val="0.751106347924501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/>
              <a:t>Uncertainty budget (Flaure)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0A7-42F0-AD91-A05E036AEB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0A7-42F0-AD91-A05E036AEB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0A7-42F0-AD91-A05E036AEB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0A7-42F0-AD91-A05E036AEBF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0A7-42F0-AD91-A05E036AEBF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0A7-42F0-AD91-A05E036AEBF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0A7-42F0-AD91-A05E036AEBF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0A7-42F0-AD91-A05E036AEB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ENG!$BA$4:$BA$12</c15:sqref>
                  </c15:fullRef>
                </c:ext>
              </c:extLst>
              <c:f>ENG!$BA$4:$BA$11</c:f>
              <c:strCache>
                <c:ptCount val="6"/>
                <c:pt idx="0">
                  <c:v>systematic</c:v>
                </c:pt>
                <c:pt idx="1">
                  <c:v>width measurement</c:v>
                </c:pt>
                <c:pt idx="2">
                  <c:v>depth measurement</c:v>
                </c:pt>
                <c:pt idx="3">
                  <c:v>velocity-head reading</c:v>
                </c:pt>
                <c:pt idx="4">
                  <c:v>edge coefficients</c:v>
                </c:pt>
                <c:pt idx="5">
                  <c:v>lateral integration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ENG!$BB$4:$BB$9</c15:sqref>
                  </c15:fullRef>
                </c:ext>
              </c:extLst>
              <c:f>ENG!$BB$4:$BB$9</c:f>
              <c:numCache>
                <c:formatCode>0\ 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0A7-42F0-AD91-A05E036AE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2802455936556469"/>
          <c:y val="0.18548256369145161"/>
          <c:w val="0.45482781147419432"/>
          <c:h val="0.751106347924501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000"/>
              <a:t>Uncertainty budget</a:t>
            </a:r>
            <a:r>
              <a:rPr lang="fr-FR" sz="2000" baseline="0"/>
              <a:t> (Q+)</a:t>
            </a:r>
            <a:endParaRPr lang="fr-FR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8B-4F03-8692-74772949EAB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8B-4F03-8692-74772949EAB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D8B-4F03-8692-74772949EAB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D8B-4F03-8692-74772949EAB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D8B-4F03-8692-74772949EAB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D8B-4F03-8692-74772949EAB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D8B-4F03-8692-74772949EAB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D8B-4F03-8692-74772949EAB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D8B-4F03-8692-74772949EA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ENG!$AD$4:$AD$10</c:f>
              <c:strCache>
                <c:ptCount val="7"/>
                <c:pt idx="0">
                  <c:v>systematic</c:v>
                </c:pt>
                <c:pt idx="1">
                  <c:v>width measurement</c:v>
                </c:pt>
                <c:pt idx="2">
                  <c:v>depth measurement</c:v>
                </c:pt>
                <c:pt idx="3">
                  <c:v>velocity-head reading</c:v>
                </c:pt>
                <c:pt idx="4">
                  <c:v>edge coefficients</c:v>
                </c:pt>
                <c:pt idx="5">
                  <c:v>depth lateral integration</c:v>
                </c:pt>
                <c:pt idx="6">
                  <c:v>velocity lateral integration</c:v>
                </c:pt>
              </c:strCache>
            </c:strRef>
          </c:cat>
          <c:val>
            <c:numRef>
              <c:f>ENG!$AE$4:$AE$10</c:f>
              <c:numCache>
                <c:formatCode>0\ 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D8B-4F03-8692-74772949E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/>
              <a:t>Uncertainty budget (ISO748)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472-4E26-A71C-A262CBEECC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472-4E26-A71C-A262CBEECC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472-4E26-A71C-A262CBEECC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472-4E26-A71C-A262CBEECC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472-4E26-A71C-A262CBEECC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472-4E26-A71C-A262CBEECC4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472-4E26-A71C-A262CBEECC4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472-4E26-A71C-A262CBEECC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ENG!$BA$4:$BA$12</c15:sqref>
                  </c15:fullRef>
                </c:ext>
              </c:extLst>
              <c:f>ENG!$BA$4:$BA$11</c:f>
              <c:strCache>
                <c:ptCount val="6"/>
                <c:pt idx="0">
                  <c:v>systematic</c:v>
                </c:pt>
                <c:pt idx="1">
                  <c:v>width measurement</c:v>
                </c:pt>
                <c:pt idx="2">
                  <c:v>depth measurement</c:v>
                </c:pt>
                <c:pt idx="3">
                  <c:v>velocity-head reading</c:v>
                </c:pt>
                <c:pt idx="4">
                  <c:v>edge coefficients</c:v>
                </c:pt>
                <c:pt idx="5">
                  <c:v>lateral integration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ENG!$AR$4:$AR$9</c15:sqref>
                  </c15:fullRef>
                </c:ext>
              </c:extLst>
              <c:f>ENG!$AR$4:$AR$9</c:f>
              <c:numCache>
                <c:formatCode>0\ 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472-4E26-A71C-A262CBEEC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2802455936556469"/>
          <c:y val="0.18548256369145161"/>
          <c:w val="0.45482781147419432"/>
          <c:h val="0.751106347924501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01695691949083E-2"/>
          <c:y val="0.12713737107321996"/>
          <c:w val="0.88349424494841566"/>
          <c:h val="0.77106368057999486"/>
        </c:manualLayout>
      </c:layout>
      <c:scatterChart>
        <c:scatterStyle val="lineMarker"/>
        <c:varyColors val="0"/>
        <c:ser>
          <c:idx val="9"/>
          <c:order val="0"/>
          <c:tx>
            <c:strRef>
              <c:f>FR!$BT$15</c:f>
              <c:strCache>
                <c:ptCount val="1"/>
                <c:pt idx="0">
                  <c:v>Sous-sections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xVal>
            <c:strRef>
              <c:f>FR!$BU$17:$BU$93</c:f>
              <c:strCache>
                <c:ptCount val="77"/>
                <c:pt idx="0">
                  <c:v>x</c:v>
                </c:pt>
                <c:pt idx="1">
                  <c:v>x</c:v>
                </c:pt>
                <c:pt idx="2">
                  <c:v>x</c:v>
                </c:pt>
                <c:pt idx="3">
                  <c:v>x</c:v>
                </c:pt>
                <c:pt idx="4">
                  <c:v>x</c:v>
                </c:pt>
                <c:pt idx="5">
                  <c:v>x</c:v>
                </c:pt>
                <c:pt idx="6">
                  <c:v>x</c:v>
                </c:pt>
                <c:pt idx="7">
                  <c:v>x</c:v>
                </c:pt>
                <c:pt idx="8">
                  <c:v>x</c:v>
                </c:pt>
                <c:pt idx="9">
                  <c:v>x</c:v>
                </c:pt>
                <c:pt idx="10">
                  <c:v>x</c:v>
                </c:pt>
                <c:pt idx="11">
                  <c:v>x</c:v>
                </c:pt>
                <c:pt idx="12">
                  <c:v>x</c:v>
                </c:pt>
                <c:pt idx="13">
                  <c:v>x</c:v>
                </c:pt>
                <c:pt idx="14">
                  <c:v>x</c:v>
                </c:pt>
                <c:pt idx="15">
                  <c:v>x</c:v>
                </c:pt>
                <c:pt idx="16">
                  <c:v>x</c:v>
                </c:pt>
                <c:pt idx="17">
                  <c:v>x</c:v>
                </c:pt>
                <c:pt idx="18">
                  <c:v>x</c:v>
                </c:pt>
                <c:pt idx="19">
                  <c:v>x</c:v>
                </c:pt>
                <c:pt idx="20">
                  <c:v>x</c:v>
                </c:pt>
                <c:pt idx="21">
                  <c:v>x</c:v>
                </c:pt>
                <c:pt idx="22">
                  <c:v>x</c:v>
                </c:pt>
                <c:pt idx="23">
                  <c:v>x</c:v>
                </c:pt>
                <c:pt idx="24">
                  <c:v>x</c:v>
                </c:pt>
                <c:pt idx="25">
                  <c:v>x</c:v>
                </c:pt>
                <c:pt idx="26">
                  <c:v>x</c:v>
                </c:pt>
                <c:pt idx="27">
                  <c:v>x</c:v>
                </c:pt>
                <c:pt idx="28">
                  <c:v>x</c:v>
                </c:pt>
                <c:pt idx="29">
                  <c:v>x</c:v>
                </c:pt>
                <c:pt idx="30">
                  <c:v>x</c:v>
                </c:pt>
                <c:pt idx="31">
                  <c:v>x</c:v>
                </c:pt>
                <c:pt idx="32">
                  <c:v>x</c:v>
                </c:pt>
                <c:pt idx="33">
                  <c:v>x</c:v>
                </c:pt>
                <c:pt idx="34">
                  <c:v>x</c:v>
                </c:pt>
                <c:pt idx="35">
                  <c:v>x</c:v>
                </c:pt>
                <c:pt idx="36">
                  <c:v>x</c:v>
                </c:pt>
                <c:pt idx="37">
                  <c:v>x</c:v>
                </c:pt>
                <c:pt idx="38">
                  <c:v>x</c:v>
                </c:pt>
                <c:pt idx="39">
                  <c:v>x</c:v>
                </c:pt>
                <c:pt idx="40">
                  <c:v>x</c:v>
                </c:pt>
                <c:pt idx="41">
                  <c:v>x</c:v>
                </c:pt>
                <c:pt idx="42">
                  <c:v>x</c:v>
                </c:pt>
                <c:pt idx="43">
                  <c:v>x</c:v>
                </c:pt>
                <c:pt idx="44">
                  <c:v>x</c:v>
                </c:pt>
                <c:pt idx="45">
                  <c:v>x</c:v>
                </c:pt>
                <c:pt idx="46">
                  <c:v>x</c:v>
                </c:pt>
                <c:pt idx="47">
                  <c:v>x</c:v>
                </c:pt>
                <c:pt idx="48">
                  <c:v>x</c:v>
                </c:pt>
                <c:pt idx="49">
                  <c:v>x</c:v>
                </c:pt>
                <c:pt idx="50">
                  <c:v>x</c:v>
                </c:pt>
                <c:pt idx="51">
                  <c:v>x</c:v>
                </c:pt>
                <c:pt idx="52">
                  <c:v>x</c:v>
                </c:pt>
                <c:pt idx="53">
                  <c:v>x</c:v>
                </c:pt>
                <c:pt idx="54">
                  <c:v>x</c:v>
                </c:pt>
                <c:pt idx="55">
                  <c:v>x</c:v>
                </c:pt>
                <c:pt idx="56">
                  <c:v>x</c:v>
                </c:pt>
                <c:pt idx="57">
                  <c:v>x</c:v>
                </c:pt>
                <c:pt idx="58">
                  <c:v>x</c:v>
                </c:pt>
                <c:pt idx="59">
                  <c:v>x</c:v>
                </c:pt>
                <c:pt idx="60">
                  <c:v>x</c:v>
                </c:pt>
                <c:pt idx="61">
                  <c:v>x</c:v>
                </c:pt>
                <c:pt idx="62">
                  <c:v>x</c:v>
                </c:pt>
                <c:pt idx="63">
                  <c:v>x</c:v>
                </c:pt>
                <c:pt idx="64">
                  <c:v>x</c:v>
                </c:pt>
                <c:pt idx="65">
                  <c:v>x</c:v>
                </c:pt>
                <c:pt idx="66">
                  <c:v>x</c:v>
                </c:pt>
                <c:pt idx="67">
                  <c:v>x</c:v>
                </c:pt>
                <c:pt idx="68">
                  <c:v>x</c:v>
                </c:pt>
                <c:pt idx="69">
                  <c:v>x</c:v>
                </c:pt>
                <c:pt idx="70">
                  <c:v>x</c:v>
                </c:pt>
                <c:pt idx="71">
                  <c:v>x</c:v>
                </c:pt>
                <c:pt idx="72">
                  <c:v>x</c:v>
                </c:pt>
                <c:pt idx="73">
                  <c:v>x</c:v>
                </c:pt>
                <c:pt idx="74">
                  <c:v>x</c:v>
                </c:pt>
                <c:pt idx="75">
                  <c:v>x</c:v>
                </c:pt>
                <c:pt idx="76">
                  <c:v>x</c:v>
                </c:pt>
              </c:strCache>
            </c:strRef>
          </c:xVal>
          <c:yVal>
            <c:numRef>
              <c:f>FR!$BV$17:$BV$93</c:f>
              <c:numCache>
                <c:formatCode>General</c:formatCod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04-4DE7-8A0F-E087904B668C}"/>
            </c:ext>
          </c:extLst>
        </c:ser>
        <c:ser>
          <c:idx val="0"/>
          <c:order val="1"/>
          <c:tx>
            <c:strRef>
              <c:f>FR!$C$15</c:f>
              <c:strCache>
                <c:ptCount val="1"/>
                <c:pt idx="0">
                  <c:v>Profondeur (cm)</c:v>
                </c:pt>
              </c:strCache>
            </c:strRef>
          </c:tx>
          <c:spPr>
            <a:ln w="28440">
              <a:solidFill>
                <a:srgbClr val="4A7EBB"/>
              </a:solidFill>
              <a:round/>
            </a:ln>
          </c:spPr>
          <c:marker>
            <c:symbol val="square"/>
            <c:size val="5"/>
            <c:spPr>
              <a:solidFill>
                <a:srgbClr val="4A7EBB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FR!$B$17:$B$42</c:f>
              <c:numCache>
                <c:formatCode>General</c:formatCode>
                <c:ptCount val="26"/>
              </c:numCache>
            </c:numRef>
          </c:xVal>
          <c:yVal>
            <c:numRef>
              <c:f>FR!$N$17:$N$42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04-4DE7-8A0F-E087904B668C}"/>
            </c:ext>
          </c:extLst>
        </c:ser>
        <c:ser>
          <c:idx val="1"/>
          <c:order val="2"/>
          <c:tx>
            <c:strRef>
              <c:f>FR!$P$15</c:f>
              <c:strCache>
                <c:ptCount val="1"/>
                <c:pt idx="0">
                  <c:v>Extrapolation aux rives</c:v>
                </c:pt>
              </c:strCache>
            </c:strRef>
          </c:tx>
          <c:spPr>
            <a:ln w="28440">
              <a:solidFill>
                <a:srgbClr val="0070C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FR!$Y$17:$Y$18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FR!$AA$17:$AA$18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604-4DE7-8A0F-E087904B668C}"/>
            </c:ext>
          </c:extLst>
        </c:ser>
        <c:ser>
          <c:idx val="2"/>
          <c:order val="3"/>
          <c:tx>
            <c:strRef>
              <c:f>FR!$P$15</c:f>
              <c:strCache>
                <c:ptCount val="1"/>
                <c:pt idx="0">
                  <c:v>Extrapolation aux rives</c:v>
                </c:pt>
              </c:strCache>
            </c:strRef>
          </c:tx>
          <c:spPr>
            <a:ln w="28440">
              <a:solidFill>
                <a:srgbClr val="0070C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FR!$Y$20:$Y$21</c:f>
              <c:numCache>
                <c:formatCode>General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xVal>
          <c:yVal>
            <c:numRef>
              <c:f>FR!$AA$20:$AA$21</c:f>
              <c:numCache>
                <c:formatCode>General</c:formatCode>
                <c:ptCount val="2"/>
                <c:pt idx="0">
                  <c:v>0</c:v>
                </c:pt>
                <c:pt idx="1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604-4DE7-8A0F-E087904B668C}"/>
            </c:ext>
          </c:extLst>
        </c:ser>
        <c:ser>
          <c:idx val="3"/>
          <c:order val="4"/>
          <c:tx>
            <c:strRef>
              <c:f>FR!$I$15</c:f>
              <c:strCache>
                <c:ptCount val="1"/>
                <c:pt idx="0">
                  <c:v>Vitesse (m/s)</c:v>
                </c:pt>
              </c:strCache>
            </c:strRef>
          </c:tx>
          <c:spPr>
            <a:ln w="28440">
              <a:solidFill>
                <a:srgbClr val="BE4B48"/>
              </a:solidFill>
              <a:round/>
            </a:ln>
          </c:spPr>
          <c:marker>
            <c:symbol val="circle"/>
            <c:size val="11"/>
            <c:spPr>
              <a:noFill/>
              <a:ln>
                <a:solidFill>
                  <a:schemeClr val="tx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FR!$B$17:$B$42</c:f>
              <c:numCache>
                <c:formatCode>General</c:formatCode>
                <c:ptCount val="26"/>
              </c:numCache>
            </c:numRef>
          </c:xVal>
          <c:yVal>
            <c:numRef>
              <c:f>FR!$W$17:$W$42</c:f>
              <c:numCache>
                <c:formatCode>General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604-4DE7-8A0F-E087904B668C}"/>
            </c:ext>
          </c:extLst>
        </c:ser>
        <c:ser>
          <c:idx val="4"/>
          <c:order val="5"/>
          <c:tx>
            <c:strRef>
              <c:f>FR!$P$15</c:f>
              <c:strCache>
                <c:ptCount val="1"/>
                <c:pt idx="0">
                  <c:v>Extrapolation aux rives</c:v>
                </c:pt>
              </c:strCache>
            </c:strRef>
          </c:tx>
          <c:spPr>
            <a:ln w="28440">
              <a:solidFill>
                <a:srgbClr val="FFC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FR!$P$17:$P$42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FR!$Q$17:$Q$42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604-4DE7-8A0F-E087904B668C}"/>
            </c:ext>
          </c:extLst>
        </c:ser>
        <c:ser>
          <c:idx val="5"/>
          <c:order val="6"/>
          <c:tx>
            <c:strRef>
              <c:f>FR!$P$15</c:f>
              <c:strCache>
                <c:ptCount val="1"/>
                <c:pt idx="0">
                  <c:v>Extrapolation aux rives</c:v>
                </c:pt>
              </c:strCache>
            </c:strRef>
          </c:tx>
          <c:spPr>
            <a:ln w="28440">
              <a:solidFill>
                <a:srgbClr val="FFC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FR!$T$17:$T$42</c:f>
              <c:numCache>
                <c:formatCode>General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xVal>
          <c:yVal>
            <c:numRef>
              <c:f>FR!$U$17:$U$42</c:f>
              <c:numCache>
                <c:formatCode>General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604-4DE7-8A0F-E087904B668C}"/>
            </c:ext>
          </c:extLst>
        </c:ser>
        <c:ser>
          <c:idx val="6"/>
          <c:order val="7"/>
          <c:tx>
            <c:strRef>
              <c:f>FR!$M$15</c:f>
              <c:strCache>
                <c:ptCount val="1"/>
                <c:pt idx="0">
                  <c:v>% débit total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1731DD74-74BA-471F-8473-399B0066D971}" type="CELLRANGE">
                      <a:rPr lang="en-US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B604-4DE7-8A0F-E087904B668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04-4DE7-8A0F-E087904B668C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xForSave val="1"/>
                </c:ext>
                <c:ext xmlns:c16="http://schemas.microsoft.com/office/drawing/2014/chart" uri="{C3380CC4-5D6E-409C-BE32-E72D297353CC}">
                  <c16:uniqueId val="{00000009-B604-4DE7-8A0F-E087904B668C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xForSave val="1"/>
                </c:ext>
                <c:ext xmlns:c16="http://schemas.microsoft.com/office/drawing/2014/chart" uri="{C3380CC4-5D6E-409C-BE32-E72D297353CC}">
                  <c16:uniqueId val="{0000000A-B604-4DE7-8A0F-E087904B668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04-4DE7-8A0F-E087904B668C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xForSave val="1"/>
                </c:ext>
                <c:ext xmlns:c16="http://schemas.microsoft.com/office/drawing/2014/chart" uri="{C3380CC4-5D6E-409C-BE32-E72D297353CC}">
                  <c16:uniqueId val="{0000000C-B604-4DE7-8A0F-E087904B668C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xForSave val="1"/>
                </c:ext>
                <c:ext xmlns:c16="http://schemas.microsoft.com/office/drawing/2014/chart" uri="{C3380CC4-5D6E-409C-BE32-E72D297353CC}">
                  <c16:uniqueId val="{0000000D-B604-4DE7-8A0F-E087904B668C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xForSave val="1"/>
                </c:ext>
                <c:ext xmlns:c16="http://schemas.microsoft.com/office/drawing/2014/chart" uri="{C3380CC4-5D6E-409C-BE32-E72D297353CC}">
                  <c16:uniqueId val="{0000000E-B604-4DE7-8A0F-E087904B668C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xForSave val="1"/>
                </c:ext>
                <c:ext xmlns:c16="http://schemas.microsoft.com/office/drawing/2014/chart" uri="{C3380CC4-5D6E-409C-BE32-E72D297353CC}">
                  <c16:uniqueId val="{0000000F-B604-4DE7-8A0F-E087904B668C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xForSave val="1"/>
                </c:ext>
                <c:ext xmlns:c16="http://schemas.microsoft.com/office/drawing/2014/chart" uri="{C3380CC4-5D6E-409C-BE32-E72D297353CC}">
                  <c16:uniqueId val="{00000010-B604-4DE7-8A0F-E087904B668C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604-4DE7-8A0F-E087904B668C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604-4DE7-8A0F-E087904B668C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604-4DE7-8A0F-E087904B668C}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xForSave val="1"/>
                </c:ext>
                <c:ext xmlns:c16="http://schemas.microsoft.com/office/drawing/2014/chart" uri="{C3380CC4-5D6E-409C-BE32-E72D297353CC}">
                  <c16:uniqueId val="{00000014-B604-4DE7-8A0F-E087904B668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04-4DE7-8A0F-E087904B668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04-4DE7-8A0F-E087904B668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04-4DE7-8A0F-E087904B668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04-4DE7-8A0F-E087904B668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04-4DE7-8A0F-E087904B668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04-4DE7-8A0F-E087904B668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04-4DE7-8A0F-E087904B668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04-4DE7-8A0F-E087904B668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04-4DE7-8A0F-E087904B668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04-4DE7-8A0F-E087904B668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04-4DE7-8A0F-E087904B668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04-4DE7-8A0F-E087904B6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rgbClr val="92D05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xVal>
            <c:numRef>
              <c:f>FR!$AC$17:$AC$42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FR!$AD$17:$AD$42</c:f>
              <c:numCache>
                <c:formatCode>0.000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FR!$AG$17:$AG$42</c15:f>
                <c15:dlblRangeCache>
                  <c:ptCount val="26"/>
                  <c:pt idx="0">
                    <c:v>0 %</c:v>
                  </c:pt>
                  <c:pt idx="1">
                    <c:v>0 %</c:v>
                  </c:pt>
                  <c:pt idx="2">
                    <c:v>0 %</c:v>
                  </c:pt>
                  <c:pt idx="3">
                    <c:v>0 %</c:v>
                  </c:pt>
                  <c:pt idx="4">
                    <c:v>0 %</c:v>
                  </c:pt>
                  <c:pt idx="5">
                    <c:v>0 %</c:v>
                  </c:pt>
                  <c:pt idx="6">
                    <c:v>0 %</c:v>
                  </c:pt>
                  <c:pt idx="7">
                    <c:v>0 %</c:v>
                  </c:pt>
                  <c:pt idx="8">
                    <c:v>0 %</c:v>
                  </c:pt>
                  <c:pt idx="9">
                    <c:v>0 %</c:v>
                  </c:pt>
                  <c:pt idx="10">
                    <c:v>0 %</c:v>
                  </c:pt>
                  <c:pt idx="11">
                    <c:v>0 %</c:v>
                  </c:pt>
                  <c:pt idx="12">
                    <c:v>0 %</c:v>
                  </c:pt>
                  <c:pt idx="13">
                    <c:v>0 %</c:v>
                  </c:pt>
                  <c:pt idx="14">
                    <c:v>0 %</c:v>
                  </c:pt>
                  <c:pt idx="15">
                    <c:v>0 %</c:v>
                  </c:pt>
                  <c:pt idx="16">
                    <c:v>0 %</c:v>
                  </c:pt>
                  <c:pt idx="17">
                    <c:v>0 %</c:v>
                  </c:pt>
                  <c:pt idx="18">
                    <c:v>0 %</c:v>
                  </c:pt>
                  <c:pt idx="19">
                    <c:v>0 %</c:v>
                  </c:pt>
                  <c:pt idx="20">
                    <c:v>0 %</c:v>
                  </c:pt>
                  <c:pt idx="21">
                    <c:v>0 %</c:v>
                  </c:pt>
                  <c:pt idx="22">
                    <c:v>0 %</c:v>
                  </c:pt>
                  <c:pt idx="23">
                    <c:v>0 %</c:v>
                  </c:pt>
                  <c:pt idx="24">
                    <c:v>0 %</c:v>
                  </c:pt>
                  <c:pt idx="25">
                    <c:v>0 %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1-B604-4DE7-8A0F-E087904B668C}"/>
            </c:ext>
          </c:extLst>
        </c:ser>
        <c:ser>
          <c:idx val="7"/>
          <c:order val="8"/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04-4DE7-8A0F-E087904B668C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3C30E2AF-C4B4-4778-8177-C35ACE2BB327}" type="CELLRANGE">
                      <a:rPr lang="en-US"/>
                      <a:pPr/>
                      <a:t>[PLAGECELL]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B604-4DE7-8A0F-E087904B668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604-4DE7-8A0F-E087904B668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604-4DE7-8A0F-E087904B668C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B7FCBB9F-29A7-4D68-B483-49573A0E05C8}" type="CELLRANGE">
                      <a:rPr lang="en-US"/>
                      <a:pPr/>
                      <a:t>[PLAGECELL]</a:t>
                    </a:fld>
                    <a:endParaRPr lang="en-N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B604-4DE7-8A0F-E087904B668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604-4DE7-8A0F-E087904B668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604-4DE7-8A0F-E087904B668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604-4DE7-8A0F-E087904B668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604-4DE7-8A0F-E087904B668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604-4DE7-8A0F-E087904B668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604-4DE7-8A0F-E087904B668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604-4DE7-8A0F-E087904B668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604-4DE7-8A0F-E087904B668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604-4DE7-8A0F-E087904B668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604-4DE7-8A0F-E087904B668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604-4DE7-8A0F-E087904B668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604-4DE7-8A0F-E087904B668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604-4DE7-8A0F-E087904B668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604-4DE7-8A0F-E087904B668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604-4DE7-8A0F-E087904B668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604-4DE7-8A0F-E087904B668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604-4DE7-8A0F-E087904B668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604-4DE7-8A0F-E087904B668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604-4DE7-8A0F-E087904B668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604-4DE7-8A0F-E087904B668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604-4DE7-8A0F-E087904B6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rgbClr val="FFC00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FR!$AC$17:$AC$42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FR!$AE$17:$AE$42</c:f>
              <c:numCache>
                <c:formatCode>0.000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FR!$AH$17:$AH$42</c15:f>
                <c15:dlblRangeCache>
                  <c:ptCount val="26"/>
                  <c:pt idx="0">
                    <c:v>#N/A</c:v>
                  </c:pt>
                  <c:pt idx="1">
                    <c:v>#N/A</c:v>
                  </c:pt>
                  <c:pt idx="2">
                    <c:v>#N/A</c:v>
                  </c:pt>
                  <c:pt idx="3">
                    <c:v>#N/A</c:v>
                  </c:pt>
                  <c:pt idx="4">
                    <c:v>#N/A</c:v>
                  </c:pt>
                  <c:pt idx="5">
                    <c:v>#N/A</c:v>
                  </c:pt>
                  <c:pt idx="6">
                    <c:v>#N/A</c:v>
                  </c:pt>
                  <c:pt idx="7">
                    <c:v>#N/A</c:v>
                  </c:pt>
                  <c:pt idx="8">
                    <c:v>#N/A</c:v>
                  </c:pt>
                  <c:pt idx="9">
                    <c:v>#N/A</c:v>
                  </c:pt>
                  <c:pt idx="10">
                    <c:v>#N/A</c:v>
                  </c:pt>
                  <c:pt idx="11">
                    <c:v>#N/A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C-B604-4DE7-8A0F-E087904B668C}"/>
            </c:ext>
          </c:extLst>
        </c:ser>
        <c:ser>
          <c:idx val="8"/>
          <c:order val="9"/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604-4DE7-8A0F-E087904B668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604-4DE7-8A0F-E087904B668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604-4DE7-8A0F-E087904B668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604-4DE7-8A0F-E087904B668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604-4DE7-8A0F-E087904B668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604-4DE7-8A0F-E087904B668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604-4DE7-8A0F-E087904B668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604-4DE7-8A0F-E087904B668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604-4DE7-8A0F-E087904B668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604-4DE7-8A0F-E087904B668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fr-F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604-4DE7-8A0F-E087904B668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604-4DE7-8A0F-E087904B668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604-4DE7-8A0F-E087904B668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604-4DE7-8A0F-E087904B668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604-4DE7-8A0F-E087904B668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604-4DE7-8A0F-E087904B668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604-4DE7-8A0F-E087904B668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604-4DE7-8A0F-E087904B668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604-4DE7-8A0F-E087904B668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604-4DE7-8A0F-E087904B668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604-4DE7-8A0F-E087904B668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604-4DE7-8A0F-E087904B668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604-4DE7-8A0F-E087904B668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604-4DE7-8A0F-E087904B668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604-4DE7-8A0F-E087904B668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604-4DE7-8A0F-E087904B66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rgbClr val="FF000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FR!$AC$17:$AC$42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FR!$AF$17:$AF$42</c:f>
              <c:numCache>
                <c:formatCode>0.000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7-B604-4DE7-8A0F-E087904B6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082111"/>
        <c:axId val="97803899"/>
      </c:scatterChart>
      <c:valAx>
        <c:axId val="9408211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n-NZ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NZ" sz="1400" b="1" strike="noStrike" spc="-1">
                    <a:solidFill>
                      <a:srgbClr val="000000"/>
                    </a:solidFill>
                    <a:latin typeface="Calibri"/>
                  </a:rPr>
                  <a:t>Abscisse en travers [m]</a:t>
                </a:r>
              </a:p>
            </c:rich>
          </c:tx>
          <c:layout/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4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7803899"/>
        <c:crosses val="autoZero"/>
        <c:crossBetween val="midCat"/>
      </c:valAx>
      <c:valAx>
        <c:axId val="9780389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NZ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NZ" sz="1400" b="1" strike="noStrike" spc="-1">
                    <a:solidFill>
                      <a:srgbClr val="0070C0"/>
                    </a:solidFill>
                    <a:latin typeface="Calibri"/>
                  </a:rPr>
                  <a:t>Profondeur [m]</a:t>
                </a:r>
                <a:r>
                  <a:rPr lang="en-NZ" sz="1000" b="1" strike="noStrike" spc="-1">
                    <a:solidFill>
                      <a:srgbClr val="000000"/>
                    </a:solidFill>
                    <a:latin typeface="Calibri"/>
                  </a:rPr>
                  <a:t>	</a:t>
                </a:r>
                <a:r>
                  <a:rPr lang="en-NZ" sz="1400" b="1" strike="noStrike" spc="-1">
                    <a:solidFill>
                      <a:srgbClr val="C00000"/>
                    </a:solidFill>
                    <a:latin typeface="Calibri"/>
                  </a:rPr>
                  <a:t>Vitesse [m/s]</a:t>
                </a:r>
              </a:p>
              <a:p>
                <a:pPr>
                  <a:defRPr lang="en-NZ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NZ" sz="1000" b="1" strike="noStrike" spc="-1">
                  <a:solidFill>
                    <a:srgbClr val="000000"/>
                  </a:solidFill>
                  <a:latin typeface="Calibri"/>
                </a:endParaRPr>
              </a:p>
            </c:rich>
          </c:tx>
          <c:layout/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4082111"/>
        <c:crosses val="autoZero"/>
        <c:crossBetween val="midCat"/>
      </c:valAx>
      <c:spPr>
        <a:solidFill>
          <a:srgbClr val="FFFFFF"/>
        </a:solidFill>
        <a:ln>
          <a:noFill/>
        </a:ln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legendEntry>
        <c:idx val="6"/>
        <c:delete val="1"/>
      </c:legendEntry>
      <c:legendEntry>
        <c:idx val="8"/>
        <c:delete val="1"/>
      </c:legendEntry>
      <c:legendEntry>
        <c:idx val="9"/>
        <c:delete val="1"/>
      </c:legendEntry>
      <c:layout/>
      <c:overlay val="0"/>
      <c:spPr>
        <a:noFill/>
        <a:ln>
          <a:noFill/>
        </a:ln>
      </c:spPr>
      <c:txPr>
        <a:bodyPr/>
        <a:lstStyle/>
        <a:p>
          <a:pPr>
            <a:defRPr sz="14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span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/>
              <a:t>Bilan d'incertitude (Flaure)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BB6-4D32-8AAC-F4D6F58144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BB6-4D32-8AAC-F4D6F58144D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BB6-4D32-8AAC-F4D6F58144D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BB6-4D32-8AAC-F4D6F58144D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BB6-4D32-8AAC-F4D6F58144D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BB6-4D32-8AAC-F4D6F58144D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BB6-4D32-8AAC-F4D6F58144D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BB6-4D32-8AAC-F4D6F58144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FR!$BA$4:$BA$12</c15:sqref>
                  </c15:fullRef>
                </c:ext>
              </c:extLst>
              <c:f>FR!$BA$4:$BA$11</c:f>
              <c:strCache>
                <c:ptCount val="6"/>
                <c:pt idx="0">
                  <c:v>erreurs systématiques</c:v>
                </c:pt>
                <c:pt idx="1">
                  <c:v>mesures de largeur</c:v>
                </c:pt>
                <c:pt idx="2">
                  <c:v>mesures de profondeur</c:v>
                </c:pt>
                <c:pt idx="3">
                  <c:v>lecture de la charge</c:v>
                </c:pt>
                <c:pt idx="4">
                  <c:v>Coefficients de rives</c:v>
                </c:pt>
                <c:pt idx="5">
                  <c:v>Intégration latérale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FR!$BB$4:$BB$9</c15:sqref>
                  </c15:fullRef>
                </c:ext>
              </c:extLst>
              <c:f>FR!$BB$4:$BB$9</c:f>
              <c:numCache>
                <c:formatCode>0\ 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BB6-4D32-8AAC-F4D6F5814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2802455936556469"/>
          <c:y val="0.18548256369145161"/>
          <c:w val="0.45482781147419432"/>
          <c:h val="0.751106347924501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000"/>
              <a:t>Bilan d'incertitude </a:t>
            </a:r>
            <a:r>
              <a:rPr lang="fr-FR" sz="2000" baseline="0"/>
              <a:t>(Q+)</a:t>
            </a:r>
            <a:endParaRPr lang="fr-FR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A75-4E34-8950-000DD49297B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A75-4E34-8950-000DD49297B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A75-4E34-8950-000DD49297B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A75-4E34-8950-000DD49297B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A75-4E34-8950-000DD49297B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A75-4E34-8950-000DD49297B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A75-4E34-8950-000DD49297B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A75-4E34-8950-000DD49297B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A75-4E34-8950-000DD49297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FR!$AD$4:$AD$10</c:f>
              <c:strCache>
                <c:ptCount val="7"/>
                <c:pt idx="0">
                  <c:v>erreurs systématiques</c:v>
                </c:pt>
                <c:pt idx="1">
                  <c:v>mesures de largeur</c:v>
                </c:pt>
                <c:pt idx="2">
                  <c:v>mesures de profondeur</c:v>
                </c:pt>
                <c:pt idx="3">
                  <c:v>lecture de la charge</c:v>
                </c:pt>
                <c:pt idx="4">
                  <c:v>Coefficients de rives</c:v>
                </c:pt>
                <c:pt idx="5">
                  <c:v>Intégration latérale (profondeurs)</c:v>
                </c:pt>
                <c:pt idx="6">
                  <c:v>Integration latérale (vitesses)</c:v>
                </c:pt>
              </c:strCache>
            </c:strRef>
          </c:cat>
          <c:val>
            <c:numRef>
              <c:f>FR!$AE$4:$AE$10</c:f>
              <c:numCache>
                <c:formatCode>0\ 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A75-4E34-8950-000DD4929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481856172289999"/>
          <c:y val="0.23641732026143791"/>
          <c:w val="0.45431405261354918"/>
          <c:h val="0.665848692810457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/>
              <a:t>Bilan d'incertitude (ISO748)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612-4073-99B8-5C514CD622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612-4073-99B8-5C514CD622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612-4073-99B8-5C514CD622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612-4073-99B8-5C514CD622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612-4073-99B8-5C514CD622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612-4073-99B8-5C514CD622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612-4073-99B8-5C514CD6229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612-4073-99B8-5C514CD622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FR!$BA$4:$BA$12</c15:sqref>
                  </c15:fullRef>
                </c:ext>
              </c:extLst>
              <c:f>FR!$BA$4:$BA$11</c:f>
              <c:strCache>
                <c:ptCount val="6"/>
                <c:pt idx="0">
                  <c:v>erreurs systématiques</c:v>
                </c:pt>
                <c:pt idx="1">
                  <c:v>mesures de largeur</c:v>
                </c:pt>
                <c:pt idx="2">
                  <c:v>mesures de profondeur</c:v>
                </c:pt>
                <c:pt idx="3">
                  <c:v>lecture de la charge</c:v>
                </c:pt>
                <c:pt idx="4">
                  <c:v>Coefficients de rives</c:v>
                </c:pt>
                <c:pt idx="5">
                  <c:v>Intégration latérale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FR!$AR$4:$AR$9</c15:sqref>
                  </c15:fullRef>
                </c:ext>
              </c:extLst>
              <c:f>FR!$AR$4:$AR$9</c:f>
              <c:numCache>
                <c:formatCode>0\ 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612-4073-99B8-5C514CD62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2802455936556469"/>
          <c:y val="0.18548256369145161"/>
          <c:w val="0.45482781147419432"/>
          <c:h val="0.751106347924501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01695691949083E-2"/>
          <c:y val="0.12713737107321996"/>
          <c:w val="0.88349424494841566"/>
          <c:h val="0.77106368057999486"/>
        </c:manualLayout>
      </c:layout>
      <c:scatterChart>
        <c:scatterStyle val="lineMarker"/>
        <c:varyColors val="0"/>
        <c:ser>
          <c:idx val="9"/>
          <c:order val="0"/>
          <c:tx>
            <c:strRef>
              <c:f>ENG_example!$BT$15</c:f>
              <c:strCache>
                <c:ptCount val="1"/>
                <c:pt idx="0">
                  <c:v>Panels</c:v>
                </c:pt>
              </c:strCache>
            </c:strRef>
          </c:tx>
          <c:marker>
            <c:symbol val="none"/>
          </c:marker>
          <c:xVal>
            <c:numRef>
              <c:f>ENG_example!$BU$17:$BU$93</c:f>
              <c:numCache>
                <c:formatCode>0.00</c:formatCode>
                <c:ptCount val="77"/>
                <c:pt idx="0">
                  <c:v>1.88</c:v>
                </c:pt>
                <c:pt idx="1">
                  <c:v>1.97</c:v>
                </c:pt>
                <c:pt idx="2">
                  <c:v>1.97</c:v>
                </c:pt>
                <c:pt idx="3">
                  <c:v>1.97</c:v>
                </c:pt>
                <c:pt idx="4">
                  <c:v>2.1150000000000002</c:v>
                </c:pt>
                <c:pt idx="5">
                  <c:v>2.1150000000000002</c:v>
                </c:pt>
                <c:pt idx="6">
                  <c:v>2.1150000000000002</c:v>
                </c:pt>
                <c:pt idx="7">
                  <c:v>2.2199999999999998</c:v>
                </c:pt>
                <c:pt idx="8">
                  <c:v>2.2199999999999998</c:v>
                </c:pt>
                <c:pt idx="9">
                  <c:v>2.2199999999999998</c:v>
                </c:pt>
                <c:pt idx="10">
                  <c:v>2.3250000000000002</c:v>
                </c:pt>
                <c:pt idx="11">
                  <c:v>2.3250000000000002</c:v>
                </c:pt>
                <c:pt idx="12">
                  <c:v>2.3250000000000002</c:v>
                </c:pt>
                <c:pt idx="13">
                  <c:v>2.4350000000000001</c:v>
                </c:pt>
                <c:pt idx="14">
                  <c:v>2.4350000000000001</c:v>
                </c:pt>
                <c:pt idx="15">
                  <c:v>2.4350000000000001</c:v>
                </c:pt>
                <c:pt idx="16">
                  <c:v>2.5449999999999999</c:v>
                </c:pt>
                <c:pt idx="17">
                  <c:v>2.5449999999999999</c:v>
                </c:pt>
                <c:pt idx="18">
                  <c:v>2.5449999999999999</c:v>
                </c:pt>
                <c:pt idx="19">
                  <c:v>2.6550000000000002</c:v>
                </c:pt>
                <c:pt idx="20">
                  <c:v>2.6550000000000002</c:v>
                </c:pt>
                <c:pt idx="21">
                  <c:v>2.6550000000000002</c:v>
                </c:pt>
                <c:pt idx="22">
                  <c:v>2.7649999999999997</c:v>
                </c:pt>
                <c:pt idx="23">
                  <c:v>2.7649999999999997</c:v>
                </c:pt>
                <c:pt idx="24">
                  <c:v>2.7649999999999997</c:v>
                </c:pt>
                <c:pt idx="25">
                  <c:v>2.875</c:v>
                </c:pt>
                <c:pt idx="26">
                  <c:v>2.875</c:v>
                </c:pt>
                <c:pt idx="27">
                  <c:v>2.875</c:v>
                </c:pt>
                <c:pt idx="28">
                  <c:v>2.9850000000000003</c:v>
                </c:pt>
                <c:pt idx="29">
                  <c:v>2.9850000000000003</c:v>
                </c:pt>
                <c:pt idx="30">
                  <c:v>2.9850000000000003</c:v>
                </c:pt>
                <c:pt idx="31">
                  <c:v>3.0949999999999998</c:v>
                </c:pt>
                <c:pt idx="32">
                  <c:v>3.0949999999999998</c:v>
                </c:pt>
                <c:pt idx="33">
                  <c:v>3.0949999999999998</c:v>
                </c:pt>
                <c:pt idx="34">
                  <c:v>3.2050000000000001</c:v>
                </c:pt>
                <c:pt idx="35">
                  <c:v>3.2050000000000001</c:v>
                </c:pt>
                <c:pt idx="36">
                  <c:v>3.2050000000000001</c:v>
                </c:pt>
                <c:pt idx="37">
                  <c:v>3.34</c:v>
                </c:pt>
                <c:pt idx="38">
                  <c:v>3.34</c:v>
                </c:pt>
                <c:pt idx="39">
                  <c:v>3.34</c:v>
                </c:pt>
                <c:pt idx="40">
                  <c:v>3.51</c:v>
                </c:pt>
                <c:pt idx="41">
                  <c:v>3.51</c:v>
                </c:pt>
                <c:pt idx="42">
                  <c:v>3.51</c:v>
                </c:pt>
                <c:pt idx="43">
                  <c:v>3.6</c:v>
                </c:pt>
                <c:pt idx="44">
                  <c:v>3.6</c:v>
                </c:pt>
                <c:pt idx="45">
                  <c:v>3.6</c:v>
                </c:pt>
                <c:pt idx="46">
                  <c:v>3.6</c:v>
                </c:pt>
                <c:pt idx="47">
                  <c:v>3.6</c:v>
                </c:pt>
                <c:pt idx="48">
                  <c:v>3.6</c:v>
                </c:pt>
                <c:pt idx="49">
                  <c:v>3.6</c:v>
                </c:pt>
                <c:pt idx="50">
                  <c:v>3.6</c:v>
                </c:pt>
                <c:pt idx="51">
                  <c:v>3.6</c:v>
                </c:pt>
                <c:pt idx="52">
                  <c:v>3.6</c:v>
                </c:pt>
                <c:pt idx="53">
                  <c:v>3.6</c:v>
                </c:pt>
                <c:pt idx="54">
                  <c:v>3.6</c:v>
                </c:pt>
                <c:pt idx="55">
                  <c:v>3.6</c:v>
                </c:pt>
                <c:pt idx="56">
                  <c:v>3.6</c:v>
                </c:pt>
                <c:pt idx="57">
                  <c:v>3.6</c:v>
                </c:pt>
                <c:pt idx="58">
                  <c:v>3.6</c:v>
                </c:pt>
                <c:pt idx="59">
                  <c:v>3.6</c:v>
                </c:pt>
                <c:pt idx="60">
                  <c:v>3.6</c:v>
                </c:pt>
                <c:pt idx="61">
                  <c:v>3.6</c:v>
                </c:pt>
                <c:pt idx="62">
                  <c:v>3.6</c:v>
                </c:pt>
                <c:pt idx="63">
                  <c:v>3.6</c:v>
                </c:pt>
                <c:pt idx="64">
                  <c:v>3.6</c:v>
                </c:pt>
                <c:pt idx="65">
                  <c:v>3.6</c:v>
                </c:pt>
                <c:pt idx="66">
                  <c:v>3.6</c:v>
                </c:pt>
                <c:pt idx="67">
                  <c:v>3.6</c:v>
                </c:pt>
                <c:pt idx="68">
                  <c:v>3.6</c:v>
                </c:pt>
                <c:pt idx="69">
                  <c:v>3.6</c:v>
                </c:pt>
                <c:pt idx="70">
                  <c:v>3.6</c:v>
                </c:pt>
                <c:pt idx="71">
                  <c:v>3.6</c:v>
                </c:pt>
                <c:pt idx="72">
                  <c:v>3.6</c:v>
                </c:pt>
                <c:pt idx="73">
                  <c:v>3.6</c:v>
                </c:pt>
                <c:pt idx="74">
                  <c:v>3.6</c:v>
                </c:pt>
                <c:pt idx="75">
                  <c:v>3.6</c:v>
                </c:pt>
                <c:pt idx="76">
                  <c:v>3.6</c:v>
                </c:pt>
              </c:numCache>
            </c:numRef>
          </c:xVal>
          <c:yVal>
            <c:numRef>
              <c:f>ENG_example!$BV$17:$BV$93</c:f>
              <c:numCache>
                <c:formatCode>General</c:formatCode>
                <c:ptCount val="77"/>
                <c:pt idx="0">
                  <c:v>-0.15</c:v>
                </c:pt>
                <c:pt idx="1">
                  <c:v>-0.15</c:v>
                </c:pt>
                <c:pt idx="2">
                  <c:v>0</c:v>
                </c:pt>
                <c:pt idx="3">
                  <c:v>-0.185</c:v>
                </c:pt>
                <c:pt idx="4">
                  <c:v>-0.185</c:v>
                </c:pt>
                <c:pt idx="5">
                  <c:v>0</c:v>
                </c:pt>
                <c:pt idx="6">
                  <c:v>-0.2</c:v>
                </c:pt>
                <c:pt idx="7">
                  <c:v>-0.2</c:v>
                </c:pt>
                <c:pt idx="8">
                  <c:v>0</c:v>
                </c:pt>
                <c:pt idx="9">
                  <c:v>-0.24</c:v>
                </c:pt>
                <c:pt idx="10">
                  <c:v>-0.24</c:v>
                </c:pt>
                <c:pt idx="11">
                  <c:v>0</c:v>
                </c:pt>
                <c:pt idx="12">
                  <c:v>-0.3</c:v>
                </c:pt>
                <c:pt idx="13">
                  <c:v>-0.3</c:v>
                </c:pt>
                <c:pt idx="14">
                  <c:v>0</c:v>
                </c:pt>
                <c:pt idx="15">
                  <c:v>-0.34499999999999997</c:v>
                </c:pt>
                <c:pt idx="16">
                  <c:v>-0.34499999999999997</c:v>
                </c:pt>
                <c:pt idx="17">
                  <c:v>0</c:v>
                </c:pt>
                <c:pt idx="18">
                  <c:v>-0.34499999999999997</c:v>
                </c:pt>
                <c:pt idx="19">
                  <c:v>-0.34499999999999997</c:v>
                </c:pt>
                <c:pt idx="20">
                  <c:v>0</c:v>
                </c:pt>
                <c:pt idx="21">
                  <c:v>-0.33500000000000002</c:v>
                </c:pt>
                <c:pt idx="22">
                  <c:v>-0.33500000000000002</c:v>
                </c:pt>
                <c:pt idx="23">
                  <c:v>0</c:v>
                </c:pt>
                <c:pt idx="24">
                  <c:v>-0.35</c:v>
                </c:pt>
                <c:pt idx="25">
                  <c:v>-0.35</c:v>
                </c:pt>
                <c:pt idx="26">
                  <c:v>0</c:v>
                </c:pt>
                <c:pt idx="27">
                  <c:v>-0.34</c:v>
                </c:pt>
                <c:pt idx="28">
                  <c:v>-0.34</c:v>
                </c:pt>
                <c:pt idx="29">
                  <c:v>0</c:v>
                </c:pt>
                <c:pt idx="30">
                  <c:v>-0.34</c:v>
                </c:pt>
                <c:pt idx="31">
                  <c:v>-0.34</c:v>
                </c:pt>
                <c:pt idx="32">
                  <c:v>0</c:v>
                </c:pt>
                <c:pt idx="33">
                  <c:v>-0.34</c:v>
                </c:pt>
                <c:pt idx="34">
                  <c:v>-0.34</c:v>
                </c:pt>
                <c:pt idx="35">
                  <c:v>0</c:v>
                </c:pt>
                <c:pt idx="36">
                  <c:v>-0.28499999999999998</c:v>
                </c:pt>
                <c:pt idx="37">
                  <c:v>-0.28499999999999998</c:v>
                </c:pt>
                <c:pt idx="38">
                  <c:v>0</c:v>
                </c:pt>
                <c:pt idx="39">
                  <c:v>-0.15</c:v>
                </c:pt>
                <c:pt idx="40">
                  <c:v>-0.15</c:v>
                </c:pt>
                <c:pt idx="41">
                  <c:v>0</c:v>
                </c:pt>
                <c:pt idx="42">
                  <c:v>-0.12</c:v>
                </c:pt>
                <c:pt idx="43">
                  <c:v>-0.12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B78-4B41-9065-BE97D2456907}"/>
            </c:ext>
          </c:extLst>
        </c:ser>
        <c:ser>
          <c:idx val="0"/>
          <c:order val="1"/>
          <c:tx>
            <c:strRef>
              <c:f>ENG_example!$C$15</c:f>
              <c:strCache>
                <c:ptCount val="1"/>
                <c:pt idx="0">
                  <c:v>Flow depth (cm)</c:v>
                </c:pt>
              </c:strCache>
            </c:strRef>
          </c:tx>
          <c:spPr>
            <a:ln w="28440">
              <a:solidFill>
                <a:srgbClr val="4A7EBB"/>
              </a:solidFill>
              <a:round/>
            </a:ln>
          </c:spPr>
          <c:marker>
            <c:symbol val="square"/>
            <c:size val="5"/>
            <c:spPr>
              <a:solidFill>
                <a:srgbClr val="4A7EBB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ENG_example!$B$17:$B$42</c:f>
              <c:numCache>
                <c:formatCode>General</c:formatCode>
                <c:ptCount val="26"/>
                <c:pt idx="0">
                  <c:v>1.88</c:v>
                </c:pt>
                <c:pt idx="1">
                  <c:v>2.06</c:v>
                </c:pt>
                <c:pt idx="2">
                  <c:v>2.17</c:v>
                </c:pt>
                <c:pt idx="3">
                  <c:v>2.27</c:v>
                </c:pt>
                <c:pt idx="4">
                  <c:v>2.38</c:v>
                </c:pt>
                <c:pt idx="5">
                  <c:v>2.4900000000000002</c:v>
                </c:pt>
                <c:pt idx="6">
                  <c:v>2.6</c:v>
                </c:pt>
                <c:pt idx="7">
                  <c:v>2.71</c:v>
                </c:pt>
                <c:pt idx="8">
                  <c:v>2.82</c:v>
                </c:pt>
                <c:pt idx="9">
                  <c:v>2.93</c:v>
                </c:pt>
                <c:pt idx="10">
                  <c:v>3.04</c:v>
                </c:pt>
                <c:pt idx="11">
                  <c:v>3.15</c:v>
                </c:pt>
                <c:pt idx="12">
                  <c:v>3.26</c:v>
                </c:pt>
                <c:pt idx="13">
                  <c:v>3.42</c:v>
                </c:pt>
                <c:pt idx="14">
                  <c:v>3.6</c:v>
                </c:pt>
              </c:numCache>
            </c:numRef>
          </c:xVal>
          <c:yVal>
            <c:numRef>
              <c:f>ENG_example!$N$17:$N$42</c:f>
              <c:numCache>
                <c:formatCode>General</c:formatCode>
                <c:ptCount val="26"/>
                <c:pt idx="0">
                  <c:v>-0.15</c:v>
                </c:pt>
                <c:pt idx="1">
                  <c:v>-0.185</c:v>
                </c:pt>
                <c:pt idx="2">
                  <c:v>-0.2</c:v>
                </c:pt>
                <c:pt idx="3">
                  <c:v>-0.24</c:v>
                </c:pt>
                <c:pt idx="4">
                  <c:v>-0.3</c:v>
                </c:pt>
                <c:pt idx="5">
                  <c:v>-0.34499999999999997</c:v>
                </c:pt>
                <c:pt idx="6">
                  <c:v>-0.34499999999999997</c:v>
                </c:pt>
                <c:pt idx="7">
                  <c:v>-0.33500000000000002</c:v>
                </c:pt>
                <c:pt idx="8">
                  <c:v>-0.35</c:v>
                </c:pt>
                <c:pt idx="9">
                  <c:v>-0.34</c:v>
                </c:pt>
                <c:pt idx="10">
                  <c:v>-0.34</c:v>
                </c:pt>
                <c:pt idx="11">
                  <c:v>-0.34</c:v>
                </c:pt>
                <c:pt idx="12">
                  <c:v>-0.28499999999999998</c:v>
                </c:pt>
                <c:pt idx="13">
                  <c:v>-0.15</c:v>
                </c:pt>
                <c:pt idx="14">
                  <c:v>-0.12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B9-4BFD-A8A0-A10F3CEA1385}"/>
            </c:ext>
          </c:extLst>
        </c:ser>
        <c:ser>
          <c:idx val="1"/>
          <c:order val="2"/>
          <c:tx>
            <c:strRef>
              <c:f>ENG_example!$P$15</c:f>
              <c:strCache>
                <c:ptCount val="1"/>
                <c:pt idx="0">
                  <c:v>Edge extrapolation</c:v>
                </c:pt>
              </c:strCache>
            </c:strRef>
          </c:tx>
          <c:spPr>
            <a:ln w="28440">
              <a:solidFill>
                <a:srgbClr val="0070C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ENG_example!$Y$17:$Y$18</c:f>
              <c:numCache>
                <c:formatCode>General</c:formatCode>
                <c:ptCount val="2"/>
                <c:pt idx="0">
                  <c:v>1.88</c:v>
                </c:pt>
                <c:pt idx="1">
                  <c:v>1.88</c:v>
                </c:pt>
              </c:numCache>
            </c:numRef>
          </c:xVal>
          <c:yVal>
            <c:numRef>
              <c:f>ENG_example!$AA$17:$AA$18</c:f>
              <c:numCache>
                <c:formatCode>General</c:formatCode>
                <c:ptCount val="2"/>
                <c:pt idx="0">
                  <c:v>0</c:v>
                </c:pt>
                <c:pt idx="1">
                  <c:v>-0.15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6B9-4BFD-A8A0-A10F3CEA1385}"/>
            </c:ext>
          </c:extLst>
        </c:ser>
        <c:ser>
          <c:idx val="2"/>
          <c:order val="3"/>
          <c:tx>
            <c:strRef>
              <c:f>ENG_example!$P$15</c:f>
              <c:strCache>
                <c:ptCount val="1"/>
                <c:pt idx="0">
                  <c:v>Edge extrapolation</c:v>
                </c:pt>
              </c:strCache>
            </c:strRef>
          </c:tx>
          <c:spPr>
            <a:ln w="28440">
              <a:solidFill>
                <a:srgbClr val="0070C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ENG_example!$Y$20:$Y$21</c:f>
              <c:numCache>
                <c:formatCode>General</c:formatCode>
                <c:ptCount val="2"/>
                <c:pt idx="0">
                  <c:v>3.6</c:v>
                </c:pt>
                <c:pt idx="1">
                  <c:v>3.6</c:v>
                </c:pt>
              </c:numCache>
            </c:numRef>
          </c:xVal>
          <c:yVal>
            <c:numRef>
              <c:f>ENG_example!$AA$20:$AA$21</c:f>
              <c:numCache>
                <c:formatCode>General</c:formatCode>
                <c:ptCount val="2"/>
                <c:pt idx="0">
                  <c:v>0</c:v>
                </c:pt>
                <c:pt idx="1">
                  <c:v>-0.12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6B9-4BFD-A8A0-A10F3CEA1385}"/>
            </c:ext>
          </c:extLst>
        </c:ser>
        <c:ser>
          <c:idx val="3"/>
          <c:order val="4"/>
          <c:tx>
            <c:strRef>
              <c:f>ENG_example!$I$15</c:f>
              <c:strCache>
                <c:ptCount val="1"/>
                <c:pt idx="0">
                  <c:v>Velocity (m/s)</c:v>
                </c:pt>
              </c:strCache>
            </c:strRef>
          </c:tx>
          <c:spPr>
            <a:ln w="28440">
              <a:solidFill>
                <a:srgbClr val="BE4B48"/>
              </a:solidFill>
              <a:round/>
            </a:ln>
          </c:spPr>
          <c:marker>
            <c:symbol val="circle"/>
            <c:size val="11"/>
            <c:spPr>
              <a:noFill/>
              <a:ln>
                <a:solidFill>
                  <a:schemeClr val="tx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ENG_example!$B$17:$B$42</c:f>
              <c:numCache>
                <c:formatCode>General</c:formatCode>
                <c:ptCount val="26"/>
                <c:pt idx="0">
                  <c:v>1.88</c:v>
                </c:pt>
                <c:pt idx="1">
                  <c:v>2.06</c:v>
                </c:pt>
                <c:pt idx="2">
                  <c:v>2.17</c:v>
                </c:pt>
                <c:pt idx="3">
                  <c:v>2.27</c:v>
                </c:pt>
                <c:pt idx="4">
                  <c:v>2.38</c:v>
                </c:pt>
                <c:pt idx="5">
                  <c:v>2.4900000000000002</c:v>
                </c:pt>
                <c:pt idx="6">
                  <c:v>2.6</c:v>
                </c:pt>
                <c:pt idx="7">
                  <c:v>2.71</c:v>
                </c:pt>
                <c:pt idx="8">
                  <c:v>2.82</c:v>
                </c:pt>
                <c:pt idx="9">
                  <c:v>2.93</c:v>
                </c:pt>
                <c:pt idx="10">
                  <c:v>3.04</c:v>
                </c:pt>
                <c:pt idx="11">
                  <c:v>3.15</c:v>
                </c:pt>
                <c:pt idx="12">
                  <c:v>3.26</c:v>
                </c:pt>
                <c:pt idx="13">
                  <c:v>3.42</c:v>
                </c:pt>
                <c:pt idx="14">
                  <c:v>3.6</c:v>
                </c:pt>
              </c:numCache>
            </c:numRef>
          </c:xVal>
          <c:yVal>
            <c:numRef>
              <c:f>ENG_example!$W$17:$W$42</c:f>
              <c:numCache>
                <c:formatCode>General</c:formatCode>
                <c:ptCount val="26"/>
                <c:pt idx="0">
                  <c:v>#N/A</c:v>
                </c:pt>
                <c:pt idx="1">
                  <c:v>0.20092933255934736</c:v>
                </c:pt>
                <c:pt idx="2">
                  <c:v>0.20092933255934736</c:v>
                </c:pt>
                <c:pt idx="3">
                  <c:v>0.30472721210920772</c:v>
                </c:pt>
                <c:pt idx="4">
                  <c:v>0.23495251871166786</c:v>
                </c:pt>
                <c:pt idx="5">
                  <c:v>0.25035732212063588</c:v>
                </c:pt>
                <c:pt idx="6">
                  <c:v>0.13651352243454587</c:v>
                </c:pt>
                <c:pt idx="7">
                  <c:v>0.20092933255934736</c:v>
                </c:pt>
                <c:pt idx="8">
                  <c:v>0.13651352243454587</c:v>
                </c:pt>
                <c:pt idx="9">
                  <c:v>0.10797625935583392</c:v>
                </c:pt>
                <c:pt idx="10">
                  <c:v>0.26492754744828828</c:v>
                </c:pt>
                <c:pt idx="11">
                  <c:v>0.26492754744828828</c:v>
                </c:pt>
                <c:pt idx="12">
                  <c:v>0.39245010586947238</c:v>
                </c:pt>
                <c:pt idx="13">
                  <c:v>0.20092933255934736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6B9-4BFD-A8A0-A10F3CEA1385}"/>
            </c:ext>
          </c:extLst>
        </c:ser>
        <c:ser>
          <c:idx val="4"/>
          <c:order val="5"/>
          <c:tx>
            <c:strRef>
              <c:f>ENG_example!$P$15</c:f>
              <c:strCache>
                <c:ptCount val="1"/>
                <c:pt idx="0">
                  <c:v>Edge extrapolation</c:v>
                </c:pt>
              </c:strCache>
            </c:strRef>
          </c:tx>
          <c:spPr>
            <a:ln w="28440">
              <a:solidFill>
                <a:srgbClr val="FFC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ENG_example!$P$17:$P$42</c:f>
              <c:numCache>
                <c:formatCode>General</c:formatCode>
                <c:ptCount val="26"/>
                <c:pt idx="0">
                  <c:v>1.88</c:v>
                </c:pt>
                <c:pt idx="1">
                  <c:v>1.8872</c:v>
                </c:pt>
                <c:pt idx="2">
                  <c:v>1.8944000000000001</c:v>
                </c:pt>
                <c:pt idx="3">
                  <c:v>1.9016000000000002</c:v>
                </c:pt>
                <c:pt idx="4">
                  <c:v>1.9088000000000003</c:v>
                </c:pt>
                <c:pt idx="5">
                  <c:v>1.9160000000000004</c:v>
                </c:pt>
                <c:pt idx="6">
                  <c:v>1.9232000000000005</c:v>
                </c:pt>
                <c:pt idx="7">
                  <c:v>1.9304000000000006</c:v>
                </c:pt>
                <c:pt idx="8">
                  <c:v>1.9376000000000007</c:v>
                </c:pt>
                <c:pt idx="9">
                  <c:v>1.9448000000000008</c:v>
                </c:pt>
                <c:pt idx="10">
                  <c:v>1.9520000000000008</c:v>
                </c:pt>
                <c:pt idx="11">
                  <c:v>1.9592000000000009</c:v>
                </c:pt>
                <c:pt idx="12">
                  <c:v>1.966400000000001</c:v>
                </c:pt>
                <c:pt idx="13">
                  <c:v>1.9736000000000011</c:v>
                </c:pt>
                <c:pt idx="14">
                  <c:v>1.9808000000000012</c:v>
                </c:pt>
                <c:pt idx="15">
                  <c:v>1.9880000000000013</c:v>
                </c:pt>
                <c:pt idx="16">
                  <c:v>1.9952000000000014</c:v>
                </c:pt>
                <c:pt idx="17">
                  <c:v>2.0024000000000015</c:v>
                </c:pt>
                <c:pt idx="18">
                  <c:v>2.0096000000000016</c:v>
                </c:pt>
                <c:pt idx="19">
                  <c:v>2.0168000000000017</c:v>
                </c:pt>
                <c:pt idx="20">
                  <c:v>2.0240000000000018</c:v>
                </c:pt>
                <c:pt idx="21">
                  <c:v>2.0312000000000019</c:v>
                </c:pt>
                <c:pt idx="22">
                  <c:v>2.038400000000002</c:v>
                </c:pt>
                <c:pt idx="23">
                  <c:v>2.0456000000000021</c:v>
                </c:pt>
                <c:pt idx="24">
                  <c:v>2.0528000000000022</c:v>
                </c:pt>
                <c:pt idx="25">
                  <c:v>2.06</c:v>
                </c:pt>
              </c:numCache>
            </c:numRef>
          </c:xVal>
          <c:yVal>
            <c:numRef>
              <c:f>ENG_example!$Q$17:$Q$42</c:f>
              <c:numCache>
                <c:formatCode>General</c:formatCode>
                <c:ptCount val="26"/>
                <c:pt idx="0">
                  <c:v>0</c:v>
                </c:pt>
                <c:pt idx="1">
                  <c:v>4.1162877386811146E-2</c:v>
                </c:pt>
                <c:pt idx="2">
                  <c:v>5.7912755699491364E-2</c:v>
                </c:pt>
                <c:pt idx="3">
                  <c:v>7.0714055718629404E-2</c:v>
                </c:pt>
                <c:pt idx="4">
                  <c:v>8.147844576539677E-2</c:v>
                </c:pt>
                <c:pt idx="5">
                  <c:v>9.0944100850765847E-2</c:v>
                </c:pt>
                <c:pt idx="6">
                  <c:v>9.9488813545997326E-2</c:v>
                </c:pt>
                <c:pt idx="7">
                  <c:v>0.10733665170201175</c:v>
                </c:pt>
                <c:pt idx="8">
                  <c:v>0.11463341787417325</c:v>
                </c:pt>
                <c:pt idx="9">
                  <c:v>0.12148027527783101</c:v>
                </c:pt>
                <c:pt idx="10">
                  <c:v>0.12795080978881787</c:v>
                </c:pt>
                <c:pt idx="11">
                  <c:v>0.13410052582713122</c:v>
                </c:pt>
                <c:pt idx="12">
                  <c:v>0.1399725121151921</c:v>
                </c:pt>
                <c:pt idx="13">
                  <c:v>0.14560101130211597</c:v>
                </c:pt>
                <c:pt idx="14">
                  <c:v>0.15101376974224104</c:v>
                </c:pt>
                <c:pt idx="15">
                  <c:v>0.1562336411618846</c:v>
                </c:pt>
                <c:pt idx="16">
                  <c:v>0.16127971477697994</c:v>
                </c:pt>
                <c:pt idx="17">
                  <c:v>0.16616812960595151</c:v>
                </c:pt>
                <c:pt idx="18">
                  <c:v>0.17091267547603772</c:v>
                </c:pt>
                <c:pt idx="19">
                  <c:v>0.175525245268559</c:v>
                </c:pt>
                <c:pt idx="20">
                  <c:v>0.18001618106576056</c:v>
                </c:pt>
                <c:pt idx="21">
                  <c:v>0.18439454311663661</c:v>
                </c:pt>
                <c:pt idx="22">
                  <c:v>0.18866832166325428</c:v>
                </c:pt>
                <c:pt idx="23">
                  <c:v>0.19284460579540177</c:v>
                </c:pt>
                <c:pt idx="24">
                  <c:v>0.19692971952851113</c:v>
                </c:pt>
                <c:pt idx="25">
                  <c:v>0.20092933255934736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6B9-4BFD-A8A0-A10F3CEA1385}"/>
            </c:ext>
          </c:extLst>
        </c:ser>
        <c:ser>
          <c:idx val="5"/>
          <c:order val="6"/>
          <c:tx>
            <c:strRef>
              <c:f>ENG_example!$P$15</c:f>
              <c:strCache>
                <c:ptCount val="1"/>
                <c:pt idx="0">
                  <c:v>Edge extrapolation</c:v>
                </c:pt>
              </c:strCache>
            </c:strRef>
          </c:tx>
          <c:spPr>
            <a:ln w="28440">
              <a:solidFill>
                <a:srgbClr val="FFC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ENG_example!$T$17:$T$42</c:f>
              <c:numCache>
                <c:formatCode>General</c:formatCode>
                <c:ptCount val="26"/>
                <c:pt idx="0">
                  <c:v>3.6</c:v>
                </c:pt>
                <c:pt idx="1">
                  <c:v>3.5928</c:v>
                </c:pt>
                <c:pt idx="2">
                  <c:v>3.5855999999999999</c:v>
                </c:pt>
                <c:pt idx="3">
                  <c:v>3.5783999999999998</c:v>
                </c:pt>
                <c:pt idx="4">
                  <c:v>3.5711999999999997</c:v>
                </c:pt>
                <c:pt idx="5">
                  <c:v>3.5639999999999996</c:v>
                </c:pt>
                <c:pt idx="6">
                  <c:v>3.5567999999999995</c:v>
                </c:pt>
                <c:pt idx="7">
                  <c:v>3.5495999999999994</c:v>
                </c:pt>
                <c:pt idx="8">
                  <c:v>3.5423999999999993</c:v>
                </c:pt>
                <c:pt idx="9">
                  <c:v>3.5351999999999992</c:v>
                </c:pt>
                <c:pt idx="10">
                  <c:v>3.5279999999999991</c:v>
                </c:pt>
                <c:pt idx="11">
                  <c:v>3.520799999999999</c:v>
                </c:pt>
                <c:pt idx="12">
                  <c:v>3.5135999999999989</c:v>
                </c:pt>
                <c:pt idx="13">
                  <c:v>3.5063999999999989</c:v>
                </c:pt>
                <c:pt idx="14">
                  <c:v>3.4991999999999988</c:v>
                </c:pt>
                <c:pt idx="15">
                  <c:v>3.4919999999999987</c:v>
                </c:pt>
                <c:pt idx="16">
                  <c:v>3.4847999999999986</c:v>
                </c:pt>
                <c:pt idx="17">
                  <c:v>3.4775999999999985</c:v>
                </c:pt>
                <c:pt idx="18">
                  <c:v>3.4703999999999984</c:v>
                </c:pt>
                <c:pt idx="19">
                  <c:v>3.4631999999999983</c:v>
                </c:pt>
                <c:pt idx="20">
                  <c:v>3.4559999999999982</c:v>
                </c:pt>
                <c:pt idx="21">
                  <c:v>3.4487999999999981</c:v>
                </c:pt>
                <c:pt idx="22">
                  <c:v>3.441599999999998</c:v>
                </c:pt>
                <c:pt idx="23">
                  <c:v>3.4343999999999979</c:v>
                </c:pt>
                <c:pt idx="24">
                  <c:v>3.4271999999999978</c:v>
                </c:pt>
                <c:pt idx="25">
                  <c:v>3.42</c:v>
                </c:pt>
              </c:numCache>
            </c:numRef>
          </c:xVal>
          <c:yVal>
            <c:numRef>
              <c:f>ENG_example!$U$17:$U$42</c:f>
              <c:numCache>
                <c:formatCode>General</c:formatCode>
                <c:ptCount val="26"/>
                <c:pt idx="0">
                  <c:v>0</c:v>
                </c:pt>
                <c:pt idx="1">
                  <c:v>0.11897938296138279</c:v>
                </c:pt>
                <c:pt idx="2">
                  <c:v>0.1331915261767091</c:v>
                </c:pt>
                <c:pt idx="3">
                  <c:v>0.14227959301461168</c:v>
                </c:pt>
                <c:pt idx="4">
                  <c:v>0.14910131657884682</c:v>
                </c:pt>
                <c:pt idx="5">
                  <c:v>0.1546171012752266</c:v>
                </c:pt>
                <c:pt idx="6">
                  <c:v>0.15927495727194954</c:v>
                </c:pt>
                <c:pt idx="7">
                  <c:v>0.16332242205377362</c:v>
                </c:pt>
                <c:pt idx="8">
                  <c:v>0.16691153892215865</c:v>
                </c:pt>
                <c:pt idx="9">
                  <c:v>0.17014277671093631</c:v>
                </c:pt>
                <c:pt idx="10">
                  <c:v>0.17308618669295278</c:v>
                </c:pt>
                <c:pt idx="11">
                  <c:v>0.17579266662680992</c:v>
                </c:pt>
                <c:pt idx="12">
                  <c:v>0.17830042577768751</c:v>
                </c:pt>
                <c:pt idx="13">
                  <c:v>0.18063891989807013</c:v>
                </c:pt>
                <c:pt idx="14">
                  <c:v>0.18283136213001844</c:v>
                </c:pt>
                <c:pt idx="15">
                  <c:v>0.18489638872709918</c:v>
                </c:pt>
                <c:pt idx="16">
                  <c:v>0.1868492006952254</c:v>
                </c:pt>
                <c:pt idx="17">
                  <c:v>0.18870236824536021</c:v>
                </c:pt>
                <c:pt idx="18">
                  <c:v>0.19046641135656187</c:v>
                </c:pt>
                <c:pt idx="19">
                  <c:v>0.19215022757176609</c:v>
                </c:pt>
                <c:pt idx="20">
                  <c:v>0.1937614130443398</c:v>
                </c:pt>
                <c:pt idx="21">
                  <c:v>0.19530650740989081</c:v>
                </c:pt>
                <c:pt idx="22">
                  <c:v>0.1967911832783481</c:v>
                </c:pt>
                <c:pt idx="23">
                  <c:v>0.19822039478781078</c:v>
                </c:pt>
                <c:pt idx="24">
                  <c:v>0.19959849543845073</c:v>
                </c:pt>
                <c:pt idx="25">
                  <c:v>0.20092933255934736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6B9-4BFD-A8A0-A10F3CEA1385}"/>
            </c:ext>
          </c:extLst>
        </c:ser>
        <c:ser>
          <c:idx val="6"/>
          <c:order val="7"/>
          <c:tx>
            <c:strRef>
              <c:f>ENG_example!$M$15</c:f>
              <c:strCache>
                <c:ptCount val="1"/>
                <c:pt idx="0">
                  <c:v>% of total discharge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DE7F1494-09ED-4BDC-9E82-8406B2470833}" type="CELLRANGE">
                      <a:rPr lang="en-US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06B9-4BFD-A8A0-A10F3CEA1385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AABB1571-D923-4536-B2DD-9AB4F7BE45BE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06B9-4BFD-A8A0-A10F3CEA1385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471DF8C0-E521-4675-971B-009D36C577D0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06B9-4BFD-A8A0-A10F3CEA1385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B3F5B074-0D1E-4D3F-B4B7-4B6AA0105F90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06B9-4BFD-A8A0-A10F3CEA1385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87969A16-C3E4-4CC4-AE18-99E24AE17C7B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06B9-4BFD-A8A0-A10F3CEA1385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27AB6B24-652F-46FE-9B28-A8C12A9B4F53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06B9-4BFD-A8A0-A10F3CEA1385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2455EA67-5DF8-4C10-9D27-B993C4B302A4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06B9-4BFD-A8A0-A10F3CEA1385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305324DA-8D64-4F15-8E9A-64DFA2C37AEA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06B9-4BFD-A8A0-A10F3CEA1385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A36CABA5-DAD2-4D67-ADFC-A0E814AFC996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06B9-4BFD-A8A0-A10F3CEA1385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ED82630E-D07F-4E1D-848F-6380B58F03C5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06B9-4BFD-A8A0-A10F3CEA138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B9-4BFD-A8A0-A10F3CEA138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B9-4BFD-A8A0-A10F3CEA138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B9-4BFD-A8A0-A10F3CEA1385}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6DA6F949-FDC6-4379-8815-7CA7A2FB5BA9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06B9-4BFD-A8A0-A10F3CEA1385}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7E831DE9-09C6-4458-BDB4-6B53DE3CE7C0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06B9-4BFD-A8A0-A10F3CEA138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B9-4BFD-A8A0-A10F3CEA138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B9-4BFD-A8A0-A10F3CEA138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B9-4BFD-A8A0-A10F3CEA138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B9-4BFD-A8A0-A10F3CEA138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B9-4BFD-A8A0-A10F3CEA138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B9-4BFD-A8A0-A10F3CEA138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B9-4BFD-A8A0-A10F3CEA138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B9-4BFD-A8A0-A10F3CEA138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B9-4BFD-A8A0-A10F3CEA138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B9-4BFD-A8A0-A10F3CEA138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6B9-4BFD-A8A0-A10F3CEA1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rgbClr val="92D05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xVal>
            <c:numRef>
              <c:f>ENG_example!$AC$17:$AC$42</c:f>
              <c:numCache>
                <c:formatCode>General</c:formatCode>
                <c:ptCount val="26"/>
                <c:pt idx="0">
                  <c:v>1.88</c:v>
                </c:pt>
                <c:pt idx="1">
                  <c:v>2.06</c:v>
                </c:pt>
                <c:pt idx="2">
                  <c:v>2.17</c:v>
                </c:pt>
                <c:pt idx="3">
                  <c:v>2.27</c:v>
                </c:pt>
                <c:pt idx="4">
                  <c:v>2.38</c:v>
                </c:pt>
                <c:pt idx="5">
                  <c:v>2.4900000000000002</c:v>
                </c:pt>
                <c:pt idx="6">
                  <c:v>2.6</c:v>
                </c:pt>
                <c:pt idx="7">
                  <c:v>2.71</c:v>
                </c:pt>
                <c:pt idx="8">
                  <c:v>2.82</c:v>
                </c:pt>
                <c:pt idx="9">
                  <c:v>2.93</c:v>
                </c:pt>
                <c:pt idx="10">
                  <c:v>3.04</c:v>
                </c:pt>
                <c:pt idx="11">
                  <c:v>3.15</c:v>
                </c:pt>
                <c:pt idx="12">
                  <c:v>3.26</c:v>
                </c:pt>
                <c:pt idx="13">
                  <c:v>3.42</c:v>
                </c:pt>
                <c:pt idx="14">
                  <c:v>3.6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ENG_example!$AD$17:$AD$42</c:f>
              <c:numCache>
                <c:formatCode>0.000</c:formatCode>
                <c:ptCount val="26"/>
                <c:pt idx="0">
                  <c:v>6.8315973070178115E-2</c:v>
                </c:pt>
                <c:pt idx="1">
                  <c:v>0.20092933255934736</c:v>
                </c:pt>
                <c:pt idx="2">
                  <c:v>0.20092933255934736</c:v>
                </c:pt>
                <c:pt idx="3">
                  <c:v>0.30472721210920772</c:v>
                </c:pt>
                <c:pt idx="4">
                  <c:v>0.23495251871166786</c:v>
                </c:pt>
                <c:pt idx="5">
                  <c:v>0.25035732212063588</c:v>
                </c:pt>
                <c:pt idx="6">
                  <c:v>0.13651352243454587</c:v>
                </c:pt>
                <c:pt idx="7">
                  <c:v>0.20092933255934736</c:v>
                </c:pt>
                <c:pt idx="8">
                  <c:v>0.13651352243454587</c:v>
                </c:pt>
                <c:pt idx="9">
                  <c:v>0.10797625935583392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0.20092933255934736</c:v>
                </c:pt>
                <c:pt idx="14">
                  <c:v>0.14466911944273009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ENG_example!$AG$17:$AG$42</c15:f>
                <c15:dlblRangeCache>
                  <c:ptCount val="26"/>
                  <c:pt idx="0">
                    <c:v>1 %</c:v>
                  </c:pt>
                  <c:pt idx="1">
                    <c:v>5 %</c:v>
                  </c:pt>
                  <c:pt idx="2">
                    <c:v>4 %</c:v>
                  </c:pt>
                  <c:pt idx="3">
                    <c:v>8 %</c:v>
                  </c:pt>
                  <c:pt idx="4">
                    <c:v>8 %</c:v>
                  </c:pt>
                  <c:pt idx="5">
                    <c:v>10 %</c:v>
                  </c:pt>
                  <c:pt idx="6">
                    <c:v>5 %</c:v>
                  </c:pt>
                  <c:pt idx="7">
                    <c:v>7 %</c:v>
                  </c:pt>
                  <c:pt idx="8">
                    <c:v>5 %</c:v>
                  </c:pt>
                  <c:pt idx="9">
                    <c:v>4 %</c:v>
                  </c:pt>
                  <c:pt idx="10">
                    <c:v>#N/A</c:v>
                  </c:pt>
                  <c:pt idx="11">
                    <c:v>#N/A</c:v>
                  </c:pt>
                  <c:pt idx="12">
                    <c:v>#N/A</c:v>
                  </c:pt>
                  <c:pt idx="13">
                    <c:v>5 %</c:v>
                  </c:pt>
                  <c:pt idx="14">
                    <c:v>2 %</c:v>
                  </c:pt>
                  <c:pt idx="15">
                    <c:v>0 %</c:v>
                  </c:pt>
                  <c:pt idx="16">
                    <c:v>0 %</c:v>
                  </c:pt>
                  <c:pt idx="17">
                    <c:v>0 %</c:v>
                  </c:pt>
                  <c:pt idx="18">
                    <c:v>0 %</c:v>
                  </c:pt>
                  <c:pt idx="19">
                    <c:v>0 %</c:v>
                  </c:pt>
                  <c:pt idx="20">
                    <c:v>0 %</c:v>
                  </c:pt>
                  <c:pt idx="21">
                    <c:v>0 %</c:v>
                  </c:pt>
                  <c:pt idx="22">
                    <c:v>0 %</c:v>
                  </c:pt>
                  <c:pt idx="23">
                    <c:v>0 %</c:v>
                  </c:pt>
                  <c:pt idx="24">
                    <c:v>0 %</c:v>
                  </c:pt>
                  <c:pt idx="25">
                    <c:v>0 %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0-06B9-4BFD-A8A0-A10F3CEA1385}"/>
            </c:ext>
          </c:extLst>
        </c:ser>
        <c:ser>
          <c:idx val="7"/>
          <c:order val="8"/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6B9-4BFD-A8A0-A10F3CEA13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6B9-4BFD-A8A0-A10F3CEA138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6B9-4BFD-A8A0-A10F3CEA138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6B9-4BFD-A8A0-A10F3CEA138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6B9-4BFD-A8A0-A10F3CEA138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fr-F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6B9-4BFD-A8A0-A10F3CEA138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6B9-4BFD-A8A0-A10F3CEA138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6B9-4BFD-A8A0-A10F3CEA138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6B9-4BFD-A8A0-A10F3CEA138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6B9-4BFD-A8A0-A10F3CEA1385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E0BE3AF7-4CEC-4CDD-B878-462E5CA6FAE1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06B9-4BFD-A8A0-A10F3CEA1385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0B48F514-3FB0-4535-B899-5A824D8E4EF2}" type="CELLRANGE">
                      <a:rPr lang="en-NZ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06B9-4BFD-A8A0-A10F3CEA138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fr-F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6B9-4BFD-A8A0-A10F3CEA138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6B9-4BFD-A8A0-A10F3CEA138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6B9-4BFD-A8A0-A10F3CEA138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6B9-4BFD-A8A0-A10F3CEA138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6B9-4BFD-A8A0-A10F3CEA138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6B9-4BFD-A8A0-A10F3CEA138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6B9-4BFD-A8A0-A10F3CEA138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6B9-4BFD-A8A0-A10F3CEA138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6B9-4BFD-A8A0-A10F3CEA138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6B9-4BFD-A8A0-A10F3CEA138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6B9-4BFD-A8A0-A10F3CEA138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6B9-4BFD-A8A0-A10F3CEA138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6B9-4BFD-A8A0-A10F3CEA138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6B9-4BFD-A8A0-A10F3CEA1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rgbClr val="FFC00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</c:ext>
            </c:extLst>
          </c:dLbls>
          <c:xVal>
            <c:numRef>
              <c:f>ENG_example!$AC$17:$AC$42</c:f>
              <c:numCache>
                <c:formatCode>General</c:formatCode>
                <c:ptCount val="26"/>
                <c:pt idx="0">
                  <c:v>1.88</c:v>
                </c:pt>
                <c:pt idx="1">
                  <c:v>2.06</c:v>
                </c:pt>
                <c:pt idx="2">
                  <c:v>2.17</c:v>
                </c:pt>
                <c:pt idx="3">
                  <c:v>2.27</c:v>
                </c:pt>
                <c:pt idx="4">
                  <c:v>2.38</c:v>
                </c:pt>
                <c:pt idx="5">
                  <c:v>2.4900000000000002</c:v>
                </c:pt>
                <c:pt idx="6">
                  <c:v>2.6</c:v>
                </c:pt>
                <c:pt idx="7">
                  <c:v>2.71</c:v>
                </c:pt>
                <c:pt idx="8">
                  <c:v>2.82</c:v>
                </c:pt>
                <c:pt idx="9">
                  <c:v>2.93</c:v>
                </c:pt>
                <c:pt idx="10">
                  <c:v>3.04</c:v>
                </c:pt>
                <c:pt idx="11">
                  <c:v>3.15</c:v>
                </c:pt>
                <c:pt idx="12">
                  <c:v>3.26</c:v>
                </c:pt>
                <c:pt idx="13">
                  <c:v>3.42</c:v>
                </c:pt>
                <c:pt idx="14">
                  <c:v>3.6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ENG_example!$AE$17:$AE$42</c:f>
              <c:numCache>
                <c:formatCode>0.000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0.26492754744828828</c:v>
                </c:pt>
                <c:pt idx="11">
                  <c:v>0.26492754744828828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ENG_example!$AH$17:$AH$42</c15:f>
                <c15:dlblRangeCache>
                  <c:ptCount val="26"/>
                  <c:pt idx="0">
                    <c:v>#N/A</c:v>
                  </c:pt>
                  <c:pt idx="1">
                    <c:v>#N/A</c:v>
                  </c:pt>
                  <c:pt idx="2">
                    <c:v>#N/A</c:v>
                  </c:pt>
                  <c:pt idx="3">
                    <c:v>#N/A</c:v>
                  </c:pt>
                  <c:pt idx="4">
                    <c:v>#N/A</c:v>
                  </c:pt>
                  <c:pt idx="5">
                    <c:v>#N/A</c:v>
                  </c:pt>
                  <c:pt idx="6">
                    <c:v>#N/A</c:v>
                  </c:pt>
                  <c:pt idx="7">
                    <c:v>#N/A</c:v>
                  </c:pt>
                  <c:pt idx="8">
                    <c:v>#N/A</c:v>
                  </c:pt>
                  <c:pt idx="9">
                    <c:v>#N/A</c:v>
                  </c:pt>
                  <c:pt idx="10">
                    <c:v>10 %</c:v>
                  </c:pt>
                  <c:pt idx="11">
                    <c:v>10 %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B-06B9-4BFD-A8A0-A10F3CEA1385}"/>
            </c:ext>
          </c:extLst>
        </c:ser>
        <c:ser>
          <c:idx val="8"/>
          <c:order val="9"/>
          <c:spPr>
            <a:ln w="19050">
              <a:noFill/>
            </a:ln>
          </c:spPr>
          <c:marker>
            <c:symbol val="circle"/>
            <c:size val="1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6B9-4BFD-A8A0-A10F3CEA13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6B9-4BFD-A8A0-A10F3CEA138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6B9-4BFD-A8A0-A10F3CEA138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6B9-4BFD-A8A0-A10F3CEA138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6B9-4BFD-A8A0-A10F3CEA138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6B9-4BFD-A8A0-A10F3CEA138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6B9-4BFD-A8A0-A10F3CEA138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6B9-4BFD-A8A0-A10F3CEA138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6B9-4BFD-A8A0-A10F3CEA138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6B9-4BFD-A8A0-A10F3CEA138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6B9-4BFD-A8A0-A10F3CEA138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6B9-4BFD-A8A0-A10F3CEA1385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707E717F-ECBC-4C72-ABBA-89729957B9D7}" type="CELLRANGE">
                      <a:rPr lang="en-US"/>
                      <a:pPr/>
                      <a:t>[PLAGECELL]</a:t>
                    </a:fld>
                    <a:endParaRPr lang="en-NZ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8-06B9-4BFD-A8A0-A10F3CEA138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6B9-4BFD-A8A0-A10F3CEA138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6B9-4BFD-A8A0-A10F3CEA138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6B9-4BFD-A8A0-A10F3CEA138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6B9-4BFD-A8A0-A10F3CEA138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6B9-4BFD-A8A0-A10F3CEA138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6B9-4BFD-A8A0-A10F3CEA138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6B9-4BFD-A8A0-A10F3CEA138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6B9-4BFD-A8A0-A10F3CEA138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6B9-4BFD-A8A0-A10F3CEA138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6B9-4BFD-A8A0-A10F3CEA138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6B9-4BFD-A8A0-A10F3CEA138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6B9-4BFD-A8A0-A10F3CEA138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6B9-4BFD-A8A0-A10F3CEA1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>
                    <a:solidFill>
                      <a:srgbClr val="FF0000"/>
                    </a:solidFill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ENG_example!$AC$17:$AC$42</c:f>
              <c:numCache>
                <c:formatCode>General</c:formatCode>
                <c:ptCount val="26"/>
                <c:pt idx="0">
                  <c:v>1.88</c:v>
                </c:pt>
                <c:pt idx="1">
                  <c:v>2.06</c:v>
                </c:pt>
                <c:pt idx="2">
                  <c:v>2.17</c:v>
                </c:pt>
                <c:pt idx="3">
                  <c:v>2.27</c:v>
                </c:pt>
                <c:pt idx="4">
                  <c:v>2.38</c:v>
                </c:pt>
                <c:pt idx="5">
                  <c:v>2.4900000000000002</c:v>
                </c:pt>
                <c:pt idx="6">
                  <c:v>2.6</c:v>
                </c:pt>
                <c:pt idx="7">
                  <c:v>2.71</c:v>
                </c:pt>
                <c:pt idx="8">
                  <c:v>2.82</c:v>
                </c:pt>
                <c:pt idx="9">
                  <c:v>2.93</c:v>
                </c:pt>
                <c:pt idx="10">
                  <c:v>3.04</c:v>
                </c:pt>
                <c:pt idx="11">
                  <c:v>3.15</c:v>
                </c:pt>
                <c:pt idx="12">
                  <c:v>3.26</c:v>
                </c:pt>
                <c:pt idx="13">
                  <c:v>3.42</c:v>
                </c:pt>
                <c:pt idx="14">
                  <c:v>3.6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ENG_example!$AF$17:$AF$42</c:f>
              <c:numCache>
                <c:formatCode>0.000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0.39245010586947238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ENG_example!$AI$17:$AI$42</c15:f>
                <c15:dlblRangeCache>
                  <c:ptCount val="26"/>
                  <c:pt idx="0">
                    <c:v>#N/A</c:v>
                  </c:pt>
                  <c:pt idx="1">
                    <c:v>#N/A</c:v>
                  </c:pt>
                  <c:pt idx="2">
                    <c:v>#N/A</c:v>
                  </c:pt>
                  <c:pt idx="3">
                    <c:v>#N/A</c:v>
                  </c:pt>
                  <c:pt idx="4">
                    <c:v>#N/A</c:v>
                  </c:pt>
                  <c:pt idx="5">
                    <c:v>#N/A</c:v>
                  </c:pt>
                  <c:pt idx="6">
                    <c:v>#N/A</c:v>
                  </c:pt>
                  <c:pt idx="7">
                    <c:v>#N/A</c:v>
                  </c:pt>
                  <c:pt idx="8">
                    <c:v>#N/A</c:v>
                  </c:pt>
                  <c:pt idx="9">
                    <c:v>#N/A</c:v>
                  </c:pt>
                  <c:pt idx="10">
                    <c:v>#N/A</c:v>
                  </c:pt>
                  <c:pt idx="11">
                    <c:v>#N/A</c:v>
                  </c:pt>
                  <c:pt idx="12">
                    <c:v>15 %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6-06B9-4BFD-A8A0-A10F3CEA1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082111"/>
        <c:axId val="97803899"/>
      </c:scatterChart>
      <c:valAx>
        <c:axId val="94082111"/>
        <c:scaling>
          <c:orientation val="minMax"/>
          <c:min val="1.8"/>
        </c:scaling>
        <c:delete val="0"/>
        <c:axPos val="b"/>
        <c:title>
          <c:tx>
            <c:rich>
              <a:bodyPr rot="0"/>
              <a:lstStyle/>
              <a:p>
                <a:pPr>
                  <a:defRPr lang="en-NZ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NZ" sz="1400" b="1" strike="noStrike" spc="-1">
                    <a:solidFill>
                      <a:srgbClr val="000000"/>
                    </a:solidFill>
                    <a:latin typeface="Calibri"/>
                  </a:rPr>
                  <a:t>Distance</a:t>
                </a:r>
                <a:r>
                  <a:rPr lang="en-NZ" sz="1400" b="1" strike="noStrike" spc="-1" baseline="0">
                    <a:solidFill>
                      <a:srgbClr val="000000"/>
                    </a:solidFill>
                    <a:latin typeface="Calibri"/>
                  </a:rPr>
                  <a:t> along transect </a:t>
                </a:r>
                <a:r>
                  <a:rPr lang="en-NZ" sz="1400" b="1" strike="noStrike" spc="-1">
                    <a:solidFill>
                      <a:srgbClr val="000000"/>
                    </a:solidFill>
                    <a:latin typeface="Calibri"/>
                  </a:rPr>
                  <a:t>[m]</a:t>
                </a:r>
              </a:p>
            </c:rich>
          </c:tx>
          <c:layout/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4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7803899"/>
        <c:crosses val="autoZero"/>
        <c:crossBetween val="midCat"/>
      </c:valAx>
      <c:valAx>
        <c:axId val="9780389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NZ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NZ" sz="1400" b="1" strike="noStrike" spc="-1">
                    <a:solidFill>
                      <a:srgbClr val="0070C0"/>
                    </a:solidFill>
                    <a:latin typeface="Calibri"/>
                  </a:rPr>
                  <a:t>Depth [m]</a:t>
                </a:r>
                <a:r>
                  <a:rPr lang="en-NZ" sz="1000" b="1" strike="noStrike" spc="-1">
                    <a:solidFill>
                      <a:srgbClr val="000000"/>
                    </a:solidFill>
                    <a:latin typeface="Calibri"/>
                  </a:rPr>
                  <a:t>	</a:t>
                </a:r>
                <a:r>
                  <a:rPr lang="en-NZ" sz="1400" b="1" strike="noStrike" spc="-1">
                    <a:solidFill>
                      <a:srgbClr val="C00000"/>
                    </a:solidFill>
                    <a:latin typeface="Calibri"/>
                  </a:rPr>
                  <a:t>Velocity [m/s]</a:t>
                </a:r>
              </a:p>
              <a:p>
                <a:pPr>
                  <a:defRPr lang="en-NZ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NZ" sz="1000" b="1" strike="noStrike" spc="-1">
                  <a:solidFill>
                    <a:srgbClr val="000000"/>
                  </a:solidFill>
                  <a:latin typeface="Calibri"/>
                </a:endParaRPr>
              </a:p>
            </c:rich>
          </c:tx>
          <c:layout/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4082111"/>
        <c:crosses val="autoZero"/>
        <c:crossBetween val="midCat"/>
      </c:valAx>
      <c:spPr>
        <a:solidFill>
          <a:srgbClr val="FFFFFF"/>
        </a:solidFill>
        <a:ln>
          <a:noFill/>
        </a:ln>
      </c:spPr>
    </c:plotArea>
    <c:legend>
      <c:legendPos val="t"/>
      <c:legendEntry>
        <c:idx val="2"/>
        <c:delete val="1"/>
      </c:legendEntry>
      <c:legendEntry>
        <c:idx val="3"/>
        <c:delete val="1"/>
      </c:legendEntry>
      <c:legendEntry>
        <c:idx val="6"/>
        <c:delete val="1"/>
      </c:legendEntry>
      <c:legendEntry>
        <c:idx val="8"/>
        <c:delete val="1"/>
      </c:legendEntry>
      <c:legendEntry>
        <c:idx val="9"/>
        <c:delete val="1"/>
      </c:legendEntry>
      <c:layout/>
      <c:overlay val="0"/>
      <c:spPr>
        <a:noFill/>
        <a:ln>
          <a:noFill/>
        </a:ln>
      </c:spPr>
      <c:txPr>
        <a:bodyPr/>
        <a:lstStyle/>
        <a:p>
          <a:pPr>
            <a:defRPr sz="14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span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81643</xdr:colOff>
      <xdr:row>0</xdr:row>
      <xdr:rowOff>0</xdr:rowOff>
    </xdr:from>
    <xdr:to>
      <xdr:col>24</xdr:col>
      <xdr:colOff>625929</xdr:colOff>
      <xdr:row>14</xdr:row>
      <xdr:rowOff>374815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55</xdr:col>
      <xdr:colOff>132361</xdr:colOff>
      <xdr:row>2</xdr:row>
      <xdr:rowOff>98382</xdr:rowOff>
    </xdr:from>
    <xdr:to>
      <xdr:col>61</xdr:col>
      <xdr:colOff>648575</xdr:colOff>
      <xdr:row>12</xdr:row>
      <xdr:rowOff>368918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213588</xdr:colOff>
      <xdr:row>2</xdr:row>
      <xdr:rowOff>62507</xdr:rowOff>
    </xdr:from>
    <xdr:to>
      <xdr:col>41</xdr:col>
      <xdr:colOff>122464</xdr:colOff>
      <xdr:row>12</xdr:row>
      <xdr:rowOff>333043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45</xdr:col>
      <xdr:colOff>585108</xdr:colOff>
      <xdr:row>2</xdr:row>
      <xdr:rowOff>81641</xdr:rowOff>
    </xdr:from>
    <xdr:to>
      <xdr:col>51</xdr:col>
      <xdr:colOff>420965</xdr:colOff>
      <xdr:row>12</xdr:row>
      <xdr:rowOff>352177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81643</xdr:colOff>
      <xdr:row>0</xdr:row>
      <xdr:rowOff>0</xdr:rowOff>
    </xdr:from>
    <xdr:to>
      <xdr:col>24</xdr:col>
      <xdr:colOff>625929</xdr:colOff>
      <xdr:row>14</xdr:row>
      <xdr:rowOff>455634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55</xdr:col>
      <xdr:colOff>132361</xdr:colOff>
      <xdr:row>2</xdr:row>
      <xdr:rowOff>98382</xdr:rowOff>
    </xdr:from>
    <xdr:to>
      <xdr:col>62</xdr:col>
      <xdr:colOff>435429</xdr:colOff>
      <xdr:row>12</xdr:row>
      <xdr:rowOff>368918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476250</xdr:colOff>
      <xdr:row>2</xdr:row>
      <xdr:rowOff>62507</xdr:rowOff>
    </xdr:from>
    <xdr:to>
      <xdr:col>40</xdr:col>
      <xdr:colOff>449036</xdr:colOff>
      <xdr:row>12</xdr:row>
      <xdr:rowOff>333043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45</xdr:col>
      <xdr:colOff>585108</xdr:colOff>
      <xdr:row>2</xdr:row>
      <xdr:rowOff>81641</xdr:rowOff>
    </xdr:from>
    <xdr:to>
      <xdr:col>51</xdr:col>
      <xdr:colOff>721179</xdr:colOff>
      <xdr:row>12</xdr:row>
      <xdr:rowOff>352177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81643</xdr:colOff>
      <xdr:row>0</xdr:row>
      <xdr:rowOff>0</xdr:rowOff>
    </xdr:from>
    <xdr:to>
      <xdr:col>24</xdr:col>
      <xdr:colOff>625929</xdr:colOff>
      <xdr:row>14</xdr:row>
      <xdr:rowOff>374815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55</xdr:col>
      <xdr:colOff>132361</xdr:colOff>
      <xdr:row>2</xdr:row>
      <xdr:rowOff>98382</xdr:rowOff>
    </xdr:from>
    <xdr:to>
      <xdr:col>61</xdr:col>
      <xdr:colOff>648575</xdr:colOff>
      <xdr:row>12</xdr:row>
      <xdr:rowOff>368918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213588</xdr:colOff>
      <xdr:row>2</xdr:row>
      <xdr:rowOff>62507</xdr:rowOff>
    </xdr:from>
    <xdr:to>
      <xdr:col>41</xdr:col>
      <xdr:colOff>122464</xdr:colOff>
      <xdr:row>12</xdr:row>
      <xdr:rowOff>333043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45</xdr:col>
      <xdr:colOff>585108</xdr:colOff>
      <xdr:row>2</xdr:row>
      <xdr:rowOff>81641</xdr:rowOff>
    </xdr:from>
    <xdr:to>
      <xdr:col>51</xdr:col>
      <xdr:colOff>420965</xdr:colOff>
      <xdr:row>12</xdr:row>
      <xdr:rowOff>352177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81643</xdr:colOff>
      <xdr:row>0</xdr:row>
      <xdr:rowOff>0</xdr:rowOff>
    </xdr:from>
    <xdr:to>
      <xdr:col>24</xdr:col>
      <xdr:colOff>625929</xdr:colOff>
      <xdr:row>14</xdr:row>
      <xdr:rowOff>455634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55</xdr:col>
      <xdr:colOff>132361</xdr:colOff>
      <xdr:row>2</xdr:row>
      <xdr:rowOff>98382</xdr:rowOff>
    </xdr:from>
    <xdr:to>
      <xdr:col>62</xdr:col>
      <xdr:colOff>435429</xdr:colOff>
      <xdr:row>12</xdr:row>
      <xdr:rowOff>368918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476250</xdr:colOff>
      <xdr:row>2</xdr:row>
      <xdr:rowOff>62507</xdr:rowOff>
    </xdr:from>
    <xdr:to>
      <xdr:col>40</xdr:col>
      <xdr:colOff>449036</xdr:colOff>
      <xdr:row>12</xdr:row>
      <xdr:rowOff>333043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45</xdr:col>
      <xdr:colOff>585108</xdr:colOff>
      <xdr:row>2</xdr:row>
      <xdr:rowOff>81641</xdr:rowOff>
    </xdr:from>
    <xdr:to>
      <xdr:col>51</xdr:col>
      <xdr:colOff>721179</xdr:colOff>
      <xdr:row>12</xdr:row>
      <xdr:rowOff>352177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V316"/>
  <sheetViews>
    <sheetView zoomScale="70" zoomScaleNormal="70" workbookViewId="0">
      <selection activeCell="B17" sqref="B17:E30"/>
    </sheetView>
  </sheetViews>
  <sheetFormatPr baseColWidth="10" defaultColWidth="10.453125" defaultRowHeight="14.5" x14ac:dyDescent="0.35"/>
  <cols>
    <col min="1" max="1" width="21" style="35" customWidth="1"/>
    <col min="2" max="2" width="17.81640625" style="35" customWidth="1"/>
    <col min="3" max="4" width="17.7265625" style="35" customWidth="1"/>
    <col min="5" max="5" width="19.1796875" style="35" customWidth="1"/>
    <col min="6" max="6" width="24.26953125" style="35" customWidth="1"/>
    <col min="7" max="7" width="6" style="25" customWidth="1"/>
    <col min="8" max="8" width="19.81640625" style="25" customWidth="1"/>
    <col min="9" max="9" width="23.7265625" style="25" customWidth="1"/>
    <col min="10" max="11" width="14.1796875" style="25" customWidth="1"/>
    <col min="12" max="12" width="13.453125" style="126" customWidth="1"/>
    <col min="13" max="13" width="11.81640625" style="25" customWidth="1"/>
    <col min="14" max="24" width="10.453125" style="25"/>
    <col min="25" max="25" width="10.453125" style="46"/>
    <col min="26" max="26" width="11.81640625" style="25" customWidth="1"/>
    <col min="27" max="27" width="13.7265625" style="46" customWidth="1"/>
    <col min="28" max="28" width="10.453125" style="25"/>
    <col min="29" max="29" width="11.453125" style="41" bestFit="1" customWidth="1"/>
    <col min="30" max="30" width="20.453125" style="41" customWidth="1"/>
    <col min="31" max="35" width="10.453125" style="41"/>
    <col min="36" max="36" width="10.453125" style="122"/>
    <col min="37" max="37" width="10.453125" style="25"/>
    <col min="38" max="39" width="11.453125" style="41" bestFit="1" customWidth="1"/>
    <col min="40" max="40" width="20.7265625" style="41" bestFit="1" customWidth="1"/>
    <col min="41" max="41" width="10.54296875" style="41" bestFit="1" customWidth="1"/>
    <col min="42" max="42" width="10.54296875" style="122" bestFit="1" customWidth="1"/>
    <col min="43" max="44" width="10.54296875" style="41" bestFit="1" customWidth="1"/>
    <col min="45" max="45" width="10.54296875" style="41" customWidth="1"/>
    <col min="46" max="46" width="12.54296875" style="41" bestFit="1" customWidth="1"/>
    <col min="47" max="47" width="11.81640625" style="68" bestFit="1" customWidth="1"/>
    <col min="48" max="49" width="11.81640625" style="41" bestFit="1" customWidth="1"/>
    <col min="50" max="50" width="12.54296875" style="41" bestFit="1" customWidth="1"/>
    <col min="51" max="51" width="11.81640625" style="41" bestFit="1" customWidth="1"/>
    <col min="52" max="52" width="11.81640625" style="11" bestFit="1" customWidth="1"/>
    <col min="53" max="64" width="10.453125" style="25"/>
    <col min="65" max="66" width="12" style="25" bestFit="1" customWidth="1"/>
    <col min="67" max="67" width="10.453125" style="25"/>
    <col min="68" max="68" width="11.453125" style="25" bestFit="1" customWidth="1"/>
    <col min="69" max="69" width="12.54296875" style="46" bestFit="1" customWidth="1"/>
    <col min="70" max="70" width="12.1796875" style="25" bestFit="1" customWidth="1"/>
    <col min="71" max="71" width="12.1796875" style="122" customWidth="1"/>
    <col min="72" max="74" width="10.453125" style="122"/>
    <col min="75" max="16384" width="10.453125" style="25"/>
  </cols>
  <sheetData>
    <row r="1" spans="1:74" ht="57.75" customHeight="1" x14ac:dyDescent="0.45">
      <c r="A1" s="214" t="s">
        <v>174</v>
      </c>
      <c r="B1" s="214"/>
      <c r="C1" s="214"/>
      <c r="D1" s="168"/>
      <c r="E1" s="211" t="s">
        <v>177</v>
      </c>
      <c r="F1" s="169" t="str">
        <f>CONCATENATE(IF(ISNUMBER(H13),H13,"   ")&amp;" L/s")</f>
        <v xml:space="preserve">    L/s</v>
      </c>
      <c r="H1" s="26" t="s">
        <v>47</v>
      </c>
      <c r="I1" s="26"/>
      <c r="J1" s="16"/>
      <c r="K1" s="17"/>
      <c r="L1" s="46"/>
      <c r="M1" s="46"/>
      <c r="W1" s="25">
        <f>10/11-2/3</f>
        <v>0.24242424242424243</v>
      </c>
      <c r="Z1" s="215" t="s">
        <v>65</v>
      </c>
      <c r="AA1" s="215"/>
      <c r="AB1" s="51"/>
      <c r="AD1" s="216" t="s">
        <v>125</v>
      </c>
      <c r="AE1" s="216"/>
      <c r="AF1" s="216"/>
      <c r="AG1" s="216"/>
      <c r="AH1" s="216"/>
      <c r="AI1" s="216"/>
      <c r="AK1" s="41"/>
      <c r="AP1" s="152"/>
      <c r="AQ1" s="217" t="s">
        <v>143</v>
      </c>
      <c r="AR1" s="217"/>
      <c r="AS1" s="217"/>
      <c r="AT1" s="217"/>
      <c r="AU1" s="217"/>
      <c r="AV1" s="25"/>
      <c r="BA1" s="66" t="s">
        <v>124</v>
      </c>
      <c r="BB1" s="23"/>
      <c r="BC1" s="18"/>
      <c r="BD1" s="41"/>
      <c r="BE1" s="41"/>
      <c r="BF1" s="41"/>
      <c r="BG1" s="41"/>
    </row>
    <row r="2" spans="1:74" ht="27.65" customHeight="1" x14ac:dyDescent="0.45">
      <c r="A2" s="209"/>
      <c r="B2" s="209"/>
      <c r="C2" s="209"/>
      <c r="D2" s="168"/>
      <c r="E2" s="218" t="str">
        <f>IF(ISNUMBER(H13),CONCATENATE(ROUND((1-K13)*H13,1)&amp;" &lt; Q &lt; "&amp;ROUND((1+K13)*H13,1)&amp;" L/s"),"")</f>
        <v/>
      </c>
      <c r="F2" s="218"/>
      <c r="H2" s="26"/>
      <c r="I2" s="26"/>
      <c r="J2" s="16"/>
      <c r="K2" s="17"/>
      <c r="L2" s="46"/>
      <c r="M2" s="46"/>
      <c r="Z2" s="206"/>
      <c r="AA2" s="206"/>
      <c r="AB2" s="51"/>
      <c r="AD2" s="208"/>
      <c r="AE2" s="208"/>
      <c r="AF2" s="208"/>
      <c r="AG2" s="208"/>
      <c r="AH2" s="208"/>
      <c r="AI2" s="208"/>
      <c r="AK2" s="41"/>
      <c r="AP2" s="152"/>
      <c r="AQ2" s="207"/>
      <c r="AR2" s="207"/>
      <c r="AS2" s="207"/>
      <c r="AT2" s="207"/>
      <c r="AU2" s="207"/>
      <c r="AV2" s="25"/>
      <c r="BA2" s="66"/>
      <c r="BB2" s="23"/>
      <c r="BC2" s="18"/>
      <c r="BD2" s="41"/>
      <c r="BE2" s="41"/>
      <c r="BF2" s="41"/>
      <c r="BG2" s="41"/>
    </row>
    <row r="3" spans="1:74" ht="18.75" customHeight="1" x14ac:dyDescent="0.45">
      <c r="A3" s="170"/>
      <c r="B3" s="170"/>
      <c r="C3" s="170"/>
      <c r="D3" s="170"/>
      <c r="E3" s="170"/>
      <c r="F3" s="170"/>
      <c r="H3" s="27"/>
      <c r="I3" s="27"/>
      <c r="J3" s="17"/>
      <c r="K3" s="17"/>
      <c r="L3" s="46"/>
      <c r="M3" s="46"/>
      <c r="W3" s="14">
        <f>W1/2/SQRT(3)</f>
        <v>6.9981850810863735E-2</v>
      </c>
      <c r="Z3" s="52" t="s">
        <v>68</v>
      </c>
      <c r="AA3" s="53">
        <v>0.01</v>
      </c>
      <c r="AB3" s="52"/>
      <c r="AD3" s="9"/>
      <c r="AE3" s="9"/>
      <c r="AF3" s="44" t="s">
        <v>123</v>
      </c>
      <c r="AK3" s="41"/>
      <c r="AP3" s="152"/>
      <c r="AQ3" s="59"/>
      <c r="AR3" s="59"/>
      <c r="AS3" s="60" t="s">
        <v>123</v>
      </c>
      <c r="AT3" s="25"/>
      <c r="AV3" s="25"/>
      <c r="BA3" s="18"/>
      <c r="BB3" s="18"/>
      <c r="BC3" s="19" t="s">
        <v>123</v>
      </c>
      <c r="BD3" s="41"/>
      <c r="BE3" s="41"/>
      <c r="BF3" s="41"/>
      <c r="BG3" s="41"/>
    </row>
    <row r="4" spans="1:74" ht="26.25" customHeight="1" x14ac:dyDescent="0.45">
      <c r="A4" s="171" t="s">
        <v>0</v>
      </c>
      <c r="B4" s="212"/>
      <c r="C4" s="212"/>
      <c r="D4" s="171" t="s">
        <v>1</v>
      </c>
      <c r="E4" s="213"/>
      <c r="F4" s="212"/>
      <c r="H4" s="27" t="s">
        <v>2</v>
      </c>
      <c r="I4" s="27" t="s">
        <v>3</v>
      </c>
      <c r="J4" s="17"/>
      <c r="K4" s="17"/>
      <c r="L4" s="46"/>
      <c r="M4" s="46"/>
      <c r="Z4" s="52" t="s">
        <v>66</v>
      </c>
      <c r="AA4" s="52">
        <v>0.01</v>
      </c>
      <c r="AB4" s="52" t="s">
        <v>67</v>
      </c>
      <c r="AD4" s="9" t="s">
        <v>86</v>
      </c>
      <c r="AE4" s="10" t="e">
        <f>AA3^2/$K$13^2*4</f>
        <v>#VALUE!</v>
      </c>
      <c r="AF4" s="10">
        <f>AA3*2</f>
        <v>0.02</v>
      </c>
      <c r="AK4" s="41"/>
      <c r="AP4" s="152"/>
      <c r="AQ4" s="59" t="s">
        <v>86</v>
      </c>
      <c r="AR4" s="61" t="e">
        <f>$AA$3^2/$J$13^2*4</f>
        <v>#VALUE!</v>
      </c>
      <c r="AS4" s="61">
        <f>$AA$3*2</f>
        <v>0.02</v>
      </c>
      <c r="AT4" s="25"/>
      <c r="AV4" s="25"/>
      <c r="BA4" s="18" t="s">
        <v>86</v>
      </c>
      <c r="BB4" s="20" t="e">
        <f>$AA$3^2/$L$13^2*4</f>
        <v>#VALUE!</v>
      </c>
      <c r="BC4" s="20">
        <f>$AA$3*2</f>
        <v>0.02</v>
      </c>
      <c r="BD4" s="41"/>
      <c r="BE4" s="41"/>
      <c r="BF4" s="41"/>
      <c r="BG4" s="41"/>
    </row>
    <row r="5" spans="1:74" ht="18.5" x14ac:dyDescent="0.45">
      <c r="H5" s="27">
        <v>0.64100000000000001</v>
      </c>
      <c r="I5" s="27">
        <v>-1.9E-2</v>
      </c>
      <c r="J5" s="17"/>
      <c r="K5" s="17"/>
      <c r="L5" s="46"/>
      <c r="M5" s="46"/>
      <c r="Z5" s="52" t="s">
        <v>69</v>
      </c>
      <c r="AA5" s="52">
        <v>5.0000000000000001E-3</v>
      </c>
      <c r="AB5" s="52" t="s">
        <v>67</v>
      </c>
      <c r="AD5" s="9" t="s">
        <v>89</v>
      </c>
      <c r="AE5" s="10" t="e">
        <f>AV15/$K$13^2*4</f>
        <v>#VALUE!</v>
      </c>
      <c r="AF5" s="10" t="e">
        <f>SQRT(AV15)*2</f>
        <v>#VALUE!</v>
      </c>
      <c r="AK5" s="41"/>
      <c r="AP5" s="152"/>
      <c r="AQ5" s="59" t="s">
        <v>89</v>
      </c>
      <c r="AR5" s="62" t="e">
        <f>$AV$15/$J$13^2*4</f>
        <v>#VALUE!</v>
      </c>
      <c r="AS5" s="62" t="e">
        <f>SQRT($AV$15)*2</f>
        <v>#VALUE!</v>
      </c>
      <c r="AT5" s="25"/>
      <c r="AV5" s="25"/>
      <c r="BA5" s="18" t="s">
        <v>89</v>
      </c>
      <c r="BB5" s="21" t="e">
        <f>$AV$15/$L$13^2*4</f>
        <v>#VALUE!</v>
      </c>
      <c r="BC5" s="21" t="e">
        <f>SQRT($AV$15)*2</f>
        <v>#VALUE!</v>
      </c>
      <c r="BD5" s="41"/>
      <c r="BE5" s="41"/>
      <c r="BF5" s="41"/>
      <c r="BG5" s="41"/>
    </row>
    <row r="6" spans="1:74" ht="28.5" customHeight="1" thickBot="1" x14ac:dyDescent="0.5">
      <c r="A6" s="171" t="s">
        <v>4</v>
      </c>
      <c r="B6" s="212"/>
      <c r="C6" s="212"/>
      <c r="D6" s="171" t="s">
        <v>5</v>
      </c>
      <c r="E6" s="212"/>
      <c r="F6" s="212"/>
      <c r="H6" s="17"/>
      <c r="I6" s="17"/>
      <c r="J6" s="17"/>
      <c r="K6" s="17"/>
      <c r="L6" s="46"/>
      <c r="M6" s="46"/>
      <c r="Z6" s="54" t="s">
        <v>75</v>
      </c>
      <c r="AA6" s="52">
        <v>1E-3</v>
      </c>
      <c r="AB6" s="52" t="s">
        <v>67</v>
      </c>
      <c r="AD6" s="9" t="s">
        <v>90</v>
      </c>
      <c r="AE6" s="10" t="e">
        <f>AW15/$K$13^2*4</f>
        <v>#VALUE!</v>
      </c>
      <c r="AF6" s="10" t="e">
        <f>SQRT(AW15)*2</f>
        <v>#VALUE!</v>
      </c>
      <c r="AK6" s="41"/>
      <c r="AP6" s="152"/>
      <c r="AQ6" s="59" t="s">
        <v>90</v>
      </c>
      <c r="AR6" s="62" t="e">
        <f>$AW$15/$J$13^2*4</f>
        <v>#VALUE!</v>
      </c>
      <c r="AS6" s="62" t="e">
        <f>SQRT($AW$15)*2</f>
        <v>#VALUE!</v>
      </c>
      <c r="AT6" s="25"/>
      <c r="AV6" s="25"/>
      <c r="BA6" s="18" t="s">
        <v>90</v>
      </c>
      <c r="BB6" s="21" t="e">
        <f>$AW$15/$L$13^2*4</f>
        <v>#VALUE!</v>
      </c>
      <c r="BC6" s="21" t="e">
        <f>SQRT($AW$15)*2</f>
        <v>#VALUE!</v>
      </c>
      <c r="BD6" s="41"/>
      <c r="BE6" s="41"/>
      <c r="BF6" s="41"/>
      <c r="BG6" s="41"/>
    </row>
    <row r="7" spans="1:74" ht="18.5" x14ac:dyDescent="0.45">
      <c r="A7" s="172"/>
      <c r="B7" s="173"/>
      <c r="C7" s="173"/>
      <c r="D7" s="172"/>
      <c r="E7" s="174"/>
      <c r="F7" s="174"/>
      <c r="H7" s="219" t="s">
        <v>6</v>
      </c>
      <c r="I7" s="220"/>
      <c r="J7" s="220"/>
      <c r="K7" s="220"/>
      <c r="L7" s="220"/>
      <c r="M7" s="221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7"/>
      <c r="Z7" s="54" t="s">
        <v>76</v>
      </c>
      <c r="AA7" s="52">
        <v>0.1</v>
      </c>
      <c r="AB7" s="52" t="s">
        <v>77</v>
      </c>
      <c r="AC7" s="3"/>
      <c r="AD7" s="9" t="s">
        <v>87</v>
      </c>
      <c r="AE7" s="10" t="e">
        <f>AY15/$K$13^2*4</f>
        <v>#VALUE!</v>
      </c>
      <c r="AF7" s="10" t="e">
        <f>SQRT(AY15)*2</f>
        <v>#VALUE!</v>
      </c>
      <c r="AK7" s="41"/>
      <c r="AP7" s="152"/>
      <c r="AQ7" s="59" t="s">
        <v>87</v>
      </c>
      <c r="AR7" s="62" t="e">
        <f>$AY$15/$J$13^2*4</f>
        <v>#VALUE!</v>
      </c>
      <c r="AS7" s="62" t="e">
        <f>SQRT($AY$15)*2</f>
        <v>#VALUE!</v>
      </c>
      <c r="AT7" s="25"/>
      <c r="AV7" s="25"/>
      <c r="BA7" s="18" t="s">
        <v>87</v>
      </c>
      <c r="BB7" s="21" t="e">
        <f>$AY$15/$L$13^2*4</f>
        <v>#VALUE!</v>
      </c>
      <c r="BC7" s="21" t="e">
        <f>SQRT($AY$15)*2</f>
        <v>#VALUE!</v>
      </c>
      <c r="BD7" s="41"/>
      <c r="BE7" s="41"/>
      <c r="BF7" s="41"/>
      <c r="BG7" s="41"/>
    </row>
    <row r="8" spans="1:74" ht="31.5" customHeight="1" x14ac:dyDescent="0.45">
      <c r="A8" s="171" t="s">
        <v>7</v>
      </c>
      <c r="B8" s="212"/>
      <c r="C8" s="212"/>
      <c r="D8" s="222" t="s">
        <v>8</v>
      </c>
      <c r="E8" s="222"/>
      <c r="F8" s="200"/>
      <c r="H8" s="201" t="s">
        <v>9</v>
      </c>
      <c r="I8" s="204" t="s">
        <v>10</v>
      </c>
      <c r="J8" s="223" t="s">
        <v>11</v>
      </c>
      <c r="K8" s="223"/>
      <c r="L8" s="223" t="s">
        <v>140</v>
      </c>
      <c r="M8" s="224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47"/>
      <c r="Z8" s="52" t="s">
        <v>70</v>
      </c>
      <c r="AA8" s="53">
        <v>0.09</v>
      </c>
      <c r="AD8" s="9" t="s">
        <v>88</v>
      </c>
      <c r="AE8" s="10" t="e">
        <f>AZ15/$K$13^2*4</f>
        <v>#VALUE!</v>
      </c>
      <c r="AF8" s="10" t="e">
        <f>SQRT(AZ15)*2</f>
        <v>#VALUE!</v>
      </c>
      <c r="AK8" s="41"/>
      <c r="AP8" s="152"/>
      <c r="AQ8" s="59" t="s">
        <v>88</v>
      </c>
      <c r="AR8" s="62" t="e">
        <f>$AZ$15/$J$13^2*4</f>
        <v>#VALUE!</v>
      </c>
      <c r="AS8" s="62" t="e">
        <f>SQRT($AZ$15)*2</f>
        <v>#VALUE!</v>
      </c>
      <c r="AT8" s="25"/>
      <c r="AV8" s="25"/>
      <c r="BA8" s="18" t="s">
        <v>88</v>
      </c>
      <c r="BB8" s="21" t="e">
        <f>$AZ$15/$L$13^2*4</f>
        <v>#VALUE!</v>
      </c>
      <c r="BC8" s="21" t="e">
        <f>SQRT($AZ$15)*2</f>
        <v>#VALUE!</v>
      </c>
      <c r="BD8" s="41"/>
      <c r="BE8" s="41"/>
      <c r="BF8" s="41"/>
      <c r="BG8" s="41"/>
    </row>
    <row r="9" spans="1:74" ht="18.5" x14ac:dyDescent="0.45">
      <c r="A9" s="172"/>
      <c r="B9" s="73"/>
      <c r="C9" s="73"/>
      <c r="D9" s="172"/>
      <c r="E9" s="97"/>
      <c r="F9" s="97"/>
      <c r="H9" s="127" t="str">
        <f>IF(ISBLANK(B17),"",ROUND(SUM(L17:L42),3-(1+INT(LOG10(ABS(SUM(L17:L42)))))))</f>
        <v/>
      </c>
      <c r="I9" s="205" t="str">
        <f>IF(ISNUMBER($H$9),ROUND(SUM(K17:K42),3-(1+INT(LOG10(ABS(SUM(K17:K42)))))),"")</f>
        <v/>
      </c>
      <c r="J9" s="226" t="str">
        <f>IF(ISNUMBER($H$9),ROUND(H9/I9,3-(1+INT(LOG10(ABS(H9/I9))))),"")</f>
        <v/>
      </c>
      <c r="K9" s="226"/>
      <c r="L9" s="227" t="str">
        <f>IF(ISNUMBER($H$9),COUNTA(B17:B42)-2,"")</f>
        <v/>
      </c>
      <c r="M9" s="228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47"/>
      <c r="Z9" s="54" t="s">
        <v>106</v>
      </c>
      <c r="AA9" s="52">
        <v>15</v>
      </c>
      <c r="AB9" s="52" t="s">
        <v>107</v>
      </c>
      <c r="AC9" s="41">
        <f>AA9/180*PI()</f>
        <v>0.26179938779914941</v>
      </c>
      <c r="AD9" s="9" t="s">
        <v>120</v>
      </c>
      <c r="AE9" s="10" t="e">
        <f>BM15/$K$13^2*4</f>
        <v>#VALUE!</v>
      </c>
      <c r="AF9" s="10" t="e">
        <f>SQRT(BM15)*2</f>
        <v>#VALUE!</v>
      </c>
      <c r="AK9" s="41"/>
      <c r="AP9" s="152"/>
      <c r="AQ9" s="59" t="s">
        <v>96</v>
      </c>
      <c r="AR9" s="62" t="e">
        <f>$AA$12^2/$J$13^2*4</f>
        <v>#VALUE!</v>
      </c>
      <c r="AS9" s="61">
        <f>AN9*2</f>
        <v>0</v>
      </c>
      <c r="AT9" s="25"/>
      <c r="AV9" s="25"/>
      <c r="BA9" s="18" t="s">
        <v>96</v>
      </c>
      <c r="BB9" s="21" t="e">
        <f>AA14^2/$L$13^2*4</f>
        <v>#DIV/0!</v>
      </c>
      <c r="BC9" s="20" t="e">
        <f>AA14*2</f>
        <v>#DIV/0!</v>
      </c>
      <c r="BD9" s="41"/>
      <c r="BE9" s="41"/>
      <c r="BF9" s="41"/>
      <c r="BG9" s="41"/>
    </row>
    <row r="10" spans="1:74" ht="18.5" x14ac:dyDescent="0.45">
      <c r="A10" s="171" t="s">
        <v>12</v>
      </c>
      <c r="B10" s="229"/>
      <c r="C10" s="212"/>
      <c r="D10" s="171" t="s">
        <v>13</v>
      </c>
      <c r="E10" s="230"/>
      <c r="F10" s="231"/>
      <c r="H10" s="128"/>
      <c r="I10" s="129"/>
      <c r="J10" s="129"/>
      <c r="K10" s="130"/>
      <c r="L10" s="129"/>
      <c r="M10" s="131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24"/>
      <c r="Y10" s="47"/>
      <c r="AD10" s="9" t="s">
        <v>121</v>
      </c>
      <c r="AE10" s="10" t="e">
        <f>BN15/$K$13^2*4</f>
        <v>#VALUE!</v>
      </c>
      <c r="AF10" s="10" t="e">
        <f>SQRT(BN15)*2</f>
        <v>#VALUE!</v>
      </c>
      <c r="AK10" s="41"/>
      <c r="AP10" s="152"/>
      <c r="AQ10" s="25"/>
      <c r="AR10" s="25"/>
      <c r="AS10" s="25"/>
      <c r="AT10" s="25"/>
      <c r="AV10" s="25"/>
      <c r="BA10" s="41"/>
      <c r="BB10" s="41"/>
      <c r="BC10" s="41"/>
      <c r="BD10" s="41"/>
      <c r="BE10" s="41"/>
      <c r="BF10" s="41"/>
      <c r="BG10" s="41"/>
    </row>
    <row r="11" spans="1:74" ht="18.649999999999999" customHeight="1" x14ac:dyDescent="0.45">
      <c r="A11" s="171"/>
      <c r="B11" s="212"/>
      <c r="C11" s="212"/>
      <c r="D11" s="171"/>
      <c r="E11" s="231"/>
      <c r="F11" s="231"/>
      <c r="H11" s="232" t="s">
        <v>44</v>
      </c>
      <c r="I11" s="233" t="s">
        <v>45</v>
      </c>
      <c r="J11" s="234" t="s">
        <v>103</v>
      </c>
      <c r="K11" s="234"/>
      <c r="L11" s="234"/>
      <c r="M11" s="2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47"/>
      <c r="Z11" s="215" t="s">
        <v>144</v>
      </c>
      <c r="AA11" s="215"/>
      <c r="AB11" s="52"/>
      <c r="AC11" s="3"/>
      <c r="AK11" s="41"/>
      <c r="AP11" s="152"/>
      <c r="AQ11" s="25"/>
      <c r="AR11" s="25"/>
      <c r="AS11" s="25"/>
      <c r="AT11" s="25"/>
      <c r="AV11" s="25"/>
      <c r="BA11" s="41"/>
      <c r="BB11" s="41"/>
      <c r="BC11" s="41"/>
      <c r="BD11" s="41"/>
      <c r="BE11" s="41"/>
      <c r="BF11" s="41"/>
      <c r="BG11" s="41"/>
    </row>
    <row r="12" spans="1:74" ht="18.649999999999999" customHeight="1" x14ac:dyDescent="0.45">
      <c r="B12" s="73"/>
      <c r="C12" s="73"/>
      <c r="E12" s="176"/>
      <c r="F12" s="176"/>
      <c r="H12" s="232"/>
      <c r="I12" s="233"/>
      <c r="J12" s="202" t="s">
        <v>139</v>
      </c>
      <c r="K12" s="202" t="s">
        <v>119</v>
      </c>
      <c r="L12" s="202" t="s">
        <v>122</v>
      </c>
      <c r="M12" s="203"/>
      <c r="N12" s="35"/>
      <c r="O12" s="35"/>
      <c r="P12" s="35"/>
      <c r="Q12" s="35"/>
      <c r="R12" s="35"/>
      <c r="S12" s="35"/>
      <c r="T12" s="35"/>
      <c r="U12" s="35"/>
      <c r="W12" s="35"/>
      <c r="X12" s="35"/>
      <c r="Y12" s="47"/>
      <c r="Z12" s="54" t="s">
        <v>141</v>
      </c>
      <c r="AA12" s="55" t="e">
        <f>(32*L9^(-0.88))/100</f>
        <v>#VALUE!</v>
      </c>
      <c r="AK12" s="41"/>
      <c r="AP12" s="152"/>
      <c r="AQ12" s="59"/>
      <c r="AR12" s="59"/>
      <c r="AS12" s="59"/>
      <c r="AT12" s="25"/>
      <c r="AV12" s="25"/>
      <c r="BA12" s="41"/>
      <c r="BB12" s="41"/>
      <c r="BC12" s="41"/>
      <c r="BD12" s="41"/>
      <c r="BE12" s="41"/>
      <c r="BF12" s="41"/>
      <c r="BG12" s="41"/>
    </row>
    <row r="13" spans="1:74" ht="32.15" customHeight="1" thickBot="1" x14ac:dyDescent="0.5">
      <c r="A13" s="171" t="s">
        <v>63</v>
      </c>
      <c r="B13" s="212"/>
      <c r="C13" s="212"/>
      <c r="D13" s="171" t="s">
        <v>64</v>
      </c>
      <c r="E13" s="231"/>
      <c r="F13" s="231"/>
      <c r="H13" s="132" t="str">
        <f>IF(ISNUMBER($H$9),ROUND(H9*1000,3-(1+INT(LOG10(ABS(H9*1000))))),"")</f>
        <v/>
      </c>
      <c r="I13" s="121" t="str">
        <f>IF(ISNUMBER($H$9),(H9-AJ15)/H9,"")</f>
        <v/>
      </c>
      <c r="J13" s="133" t="str">
        <f>IF(ISNUMBER($H$9),2*SQRT(AA3^2+AA12^2+AU15),"")</f>
        <v/>
      </c>
      <c r="K13" s="134" t="str">
        <f>IF(ISNUMBER($H$9),2*SQRT(AA3^2+BQ15),"")</f>
        <v/>
      </c>
      <c r="L13" s="133" t="str">
        <f>IF(ISNUMBER($H$9),2*SQRT(AA3^2+AA14^2+AU15),"")</f>
        <v/>
      </c>
      <c r="M13" s="135"/>
      <c r="N13" s="35"/>
      <c r="O13" s="35"/>
      <c r="P13" s="35"/>
      <c r="Q13" s="35"/>
      <c r="R13" s="35"/>
      <c r="S13" s="35"/>
      <c r="T13" s="35"/>
      <c r="U13" s="35"/>
      <c r="W13" s="35"/>
      <c r="X13" s="35"/>
      <c r="Y13" s="47"/>
      <c r="Z13" s="54" t="s">
        <v>128</v>
      </c>
      <c r="AA13" s="56" t="e">
        <f>IF(AL15=0,0,AM15/AL15*AO15/H9)</f>
        <v>#DIV/0!</v>
      </c>
      <c r="AD13" s="9" t="s">
        <v>82</v>
      </c>
      <c r="AE13" s="15" t="e">
        <f>SUM(AE4:AE10)</f>
        <v>#VALUE!</v>
      </c>
      <c r="AK13" s="41"/>
      <c r="AP13" s="152"/>
      <c r="AQ13" s="59" t="s">
        <v>82</v>
      </c>
      <c r="AR13" s="63" t="e">
        <f>SUM(AR4:AR9)</f>
        <v>#VALUE!</v>
      </c>
      <c r="AS13" s="59"/>
      <c r="AT13" s="8"/>
      <c r="AU13" s="69"/>
      <c r="AV13" s="8"/>
      <c r="BA13" s="18" t="s">
        <v>82</v>
      </c>
      <c r="BB13" s="22" t="e">
        <f>SUM(BB4:BB9)</f>
        <v>#VALUE!</v>
      </c>
      <c r="BC13" s="18"/>
      <c r="BD13" s="41"/>
      <c r="BE13" s="41"/>
      <c r="BF13" s="41"/>
      <c r="BG13" s="41"/>
      <c r="BH13" s="8"/>
      <c r="BI13" s="8"/>
      <c r="BJ13" s="8"/>
      <c r="BK13" s="8"/>
      <c r="BO13" s="25" t="s">
        <v>131</v>
      </c>
      <c r="BP13" s="25" t="s">
        <v>130</v>
      </c>
    </row>
    <row r="14" spans="1:74" ht="11.25" customHeight="1" x14ac:dyDescent="0.35">
      <c r="H14" s="46"/>
      <c r="I14" s="46"/>
      <c r="J14" s="46"/>
      <c r="K14" s="46"/>
      <c r="L14" s="46"/>
      <c r="M14" s="47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47"/>
      <c r="Z14" s="54" t="s">
        <v>129</v>
      </c>
      <c r="AA14" s="55" t="e">
        <f>IF(AA13&lt;1.2,(-5.9*AA13^2+21.4*AA13+0.3)/100,(-5.9*1.2^2+21.4*1.2+0.3)/100)</f>
        <v>#DIV/0!</v>
      </c>
      <c r="AB14" s="52"/>
      <c r="AL14" s="41" t="s">
        <v>91</v>
      </c>
      <c r="AM14" s="41" t="s">
        <v>92</v>
      </c>
      <c r="AO14" s="41" t="s">
        <v>93</v>
      </c>
      <c r="BO14" s="25" t="e">
        <f t="array" ref="BO14">MAX(IF(ISNA(BO17:BO42),,BO17:BO42))*180/PI()</f>
        <v>#DIV/0!</v>
      </c>
      <c r="BP14" s="25" t="e">
        <f>BP15/PI()*180</f>
        <v>#DIV/0!</v>
      </c>
      <c r="BR14" s="25" t="s">
        <v>136</v>
      </c>
    </row>
    <row r="15" spans="1:74" s="29" customFormat="1" ht="61.5" customHeight="1" x14ac:dyDescent="0.45">
      <c r="A15" s="177" t="s">
        <v>14</v>
      </c>
      <c r="B15" s="177" t="s">
        <v>15</v>
      </c>
      <c r="C15" s="177" t="s">
        <v>16</v>
      </c>
      <c r="D15" s="177" t="s">
        <v>17</v>
      </c>
      <c r="E15" s="177" t="s">
        <v>18</v>
      </c>
      <c r="F15" s="177" t="s">
        <v>19</v>
      </c>
      <c r="H15" s="50" t="s">
        <v>48</v>
      </c>
      <c r="I15" s="50" t="s">
        <v>49</v>
      </c>
      <c r="J15" s="50" t="s">
        <v>20</v>
      </c>
      <c r="K15" s="50" t="s">
        <v>21</v>
      </c>
      <c r="L15" s="149" t="s">
        <v>22</v>
      </c>
      <c r="M15" s="50" t="s">
        <v>59</v>
      </c>
      <c r="N15" s="50" t="s">
        <v>58</v>
      </c>
      <c r="O15" s="36"/>
      <c r="P15" s="37" t="s">
        <v>57</v>
      </c>
      <c r="Q15" s="36"/>
      <c r="R15" s="36"/>
      <c r="S15" s="36"/>
      <c r="T15" s="36"/>
      <c r="U15" s="36"/>
      <c r="V15" s="36"/>
      <c r="W15" s="36"/>
      <c r="X15" s="36"/>
      <c r="Y15" s="57"/>
      <c r="Z15" s="54" t="s">
        <v>142</v>
      </c>
      <c r="AA15" s="55" t="e">
        <f>SQRT(BM15+BN15)</f>
        <v>#VALUE!</v>
      </c>
      <c r="AB15" s="30"/>
      <c r="AC15" s="42"/>
      <c r="AD15" s="236" t="s">
        <v>94</v>
      </c>
      <c r="AE15" s="236"/>
      <c r="AF15" s="236"/>
      <c r="AG15" s="236" t="s">
        <v>95</v>
      </c>
      <c r="AH15" s="236"/>
      <c r="AI15" s="236"/>
      <c r="AJ15" s="123">
        <f>SUM(AJ17:AJ42)</f>
        <v>0</v>
      </c>
      <c r="AL15" s="42" t="e">
        <f t="array" ref="AL15">STDEVA(IF(AL17:AL42&lt;&gt;0,AL17:AL42))</f>
        <v>#DIV/0!</v>
      </c>
      <c r="AM15" s="42" t="e">
        <f t="array" ref="AM15">STDEVA(IF(AM17:AM42&lt;&gt;0,AM17:AM42))</f>
        <v>#DIV/0!</v>
      </c>
      <c r="AN15" s="42"/>
      <c r="AO15" s="42">
        <f>SUM(AO18:AO42)</f>
        <v>0</v>
      </c>
      <c r="AP15" s="124"/>
      <c r="AQ15" s="42"/>
      <c r="AR15" s="42"/>
      <c r="AS15" s="42"/>
      <c r="AT15" s="42"/>
      <c r="AU15" s="69" t="e">
        <f>SUM(AU17:AU42)</f>
        <v>#VALUE!</v>
      </c>
      <c r="AV15" s="5" t="e">
        <f t="shared" ref="AV15:AX15" si="0">SUM(AV17:AV42)</f>
        <v>#VALUE!</v>
      </c>
      <c r="AW15" s="5" t="e">
        <f t="shared" si="0"/>
        <v>#VALUE!</v>
      </c>
      <c r="AX15" s="5" t="e">
        <f t="shared" si="0"/>
        <v>#VALUE!</v>
      </c>
      <c r="AY15" s="5" t="e">
        <f>SUM(AY17:AY42)</f>
        <v>#VALUE!</v>
      </c>
      <c r="AZ15" s="12" t="e">
        <f>SUM(AZ17:AZ42)</f>
        <v>#VALUE!</v>
      </c>
      <c r="BB15" s="225" t="s">
        <v>117</v>
      </c>
      <c r="BC15" s="225"/>
      <c r="BD15" s="225"/>
      <c r="BE15" s="225"/>
      <c r="BF15" s="225"/>
      <c r="BG15" s="225"/>
      <c r="BH15" s="225"/>
      <c r="BI15" s="225"/>
      <c r="BJ15" s="225"/>
      <c r="BK15" s="225"/>
      <c r="BM15" s="29" t="e">
        <f t="shared" ref="BM15:BN15" si="1">SUM(BM17:BM42)</f>
        <v>#VALUE!</v>
      </c>
      <c r="BN15" s="29" t="e">
        <f t="shared" si="1"/>
        <v>#VALUE!</v>
      </c>
      <c r="BP15" s="29" t="e">
        <f>SUMIF(BP17:BP42,"&lt;&gt;#N/A")/$H$9</f>
        <v>#DIV/0!</v>
      </c>
      <c r="BQ15" s="67" t="e">
        <f>SUM(BQ17:BQ42)</f>
        <v>#VALUE!</v>
      </c>
      <c r="BR15" s="29" t="e">
        <f>SUM(AV15:AZ15,BM15:BN15)-BQ15</f>
        <v>#VALUE!</v>
      </c>
      <c r="BS15" s="124"/>
      <c r="BT15" s="124" t="s">
        <v>171</v>
      </c>
      <c r="BU15" s="124" t="s">
        <v>168</v>
      </c>
      <c r="BV15" s="124">
        <v>0</v>
      </c>
    </row>
    <row r="16" spans="1:74" s="29" customFormat="1" ht="23.25" customHeight="1" x14ac:dyDescent="0.45">
      <c r="A16" s="1"/>
      <c r="B16" s="1"/>
      <c r="C16" s="1"/>
      <c r="D16" s="1"/>
      <c r="E16" s="1"/>
      <c r="F16" s="1"/>
      <c r="H16" s="28"/>
      <c r="I16" s="28"/>
      <c r="J16" s="28"/>
      <c r="K16" s="28"/>
      <c r="L16" s="150"/>
      <c r="O16" s="36"/>
      <c r="P16" s="37" t="s">
        <v>23</v>
      </c>
      <c r="Q16" s="36"/>
      <c r="R16" s="36"/>
      <c r="S16" s="36"/>
      <c r="T16" s="37" t="s">
        <v>24</v>
      </c>
      <c r="U16" s="36"/>
      <c r="V16" s="36"/>
      <c r="W16" s="36"/>
      <c r="X16" s="36"/>
      <c r="Y16" s="57" t="s">
        <v>25</v>
      </c>
      <c r="Z16" s="36"/>
      <c r="AA16" s="64"/>
      <c r="AB16" s="30"/>
      <c r="AC16" s="42" t="s">
        <v>55</v>
      </c>
      <c r="AD16" s="42" t="s">
        <v>52</v>
      </c>
      <c r="AE16" s="42" t="s">
        <v>53</v>
      </c>
      <c r="AF16" s="42" t="s">
        <v>54</v>
      </c>
      <c r="AG16" s="42" t="s">
        <v>52</v>
      </c>
      <c r="AH16" s="42" t="s">
        <v>53</v>
      </c>
      <c r="AI16" s="42" t="s">
        <v>54</v>
      </c>
      <c r="AJ16" s="124" t="s">
        <v>167</v>
      </c>
      <c r="AL16" s="42" t="s">
        <v>71</v>
      </c>
      <c r="AM16" s="42" t="s">
        <v>72</v>
      </c>
      <c r="AN16" s="42" t="s">
        <v>73</v>
      </c>
      <c r="AO16" s="42" t="s">
        <v>74</v>
      </c>
      <c r="AP16" s="124" t="s">
        <v>78</v>
      </c>
      <c r="AQ16" s="42" t="s">
        <v>80</v>
      </c>
      <c r="AR16" s="42" t="s">
        <v>79</v>
      </c>
      <c r="AS16" s="42" t="s">
        <v>133</v>
      </c>
      <c r="AT16" s="42" t="s">
        <v>134</v>
      </c>
      <c r="AU16" s="69" t="s">
        <v>81</v>
      </c>
      <c r="AV16" s="42" t="s">
        <v>83</v>
      </c>
      <c r="AW16" s="42" t="s">
        <v>84</v>
      </c>
      <c r="AX16" s="42" t="s">
        <v>85</v>
      </c>
      <c r="AY16" s="42" t="s">
        <v>132</v>
      </c>
      <c r="AZ16" s="13" t="s">
        <v>135</v>
      </c>
      <c r="BA16" s="29" t="s">
        <v>108</v>
      </c>
      <c r="BB16" s="29" t="s">
        <v>109</v>
      </c>
      <c r="BC16" s="29" t="s">
        <v>110</v>
      </c>
      <c r="BD16" s="29" t="s">
        <v>111</v>
      </c>
      <c r="BE16" s="29" t="s">
        <v>112</v>
      </c>
      <c r="BF16" s="29" t="s">
        <v>104</v>
      </c>
      <c r="BG16" s="29" t="s">
        <v>113</v>
      </c>
      <c r="BH16" s="29" t="s">
        <v>114</v>
      </c>
      <c r="BI16" s="29" t="s">
        <v>115</v>
      </c>
      <c r="BJ16" s="29" t="s">
        <v>116</v>
      </c>
      <c r="BK16" s="29" t="s">
        <v>105</v>
      </c>
      <c r="BM16" s="29" t="s">
        <v>137</v>
      </c>
      <c r="BN16" s="29" t="s">
        <v>138</v>
      </c>
      <c r="BO16" s="29" t="s">
        <v>126</v>
      </c>
      <c r="BP16" s="29" t="s">
        <v>127</v>
      </c>
      <c r="BQ16" s="67" t="s">
        <v>118</v>
      </c>
      <c r="BS16" s="124"/>
      <c r="BT16" s="124"/>
      <c r="BU16" s="124" t="s">
        <v>169</v>
      </c>
      <c r="BV16" s="124" t="s">
        <v>170</v>
      </c>
    </row>
    <row r="17" spans="1:74" ht="36" customHeight="1" x14ac:dyDescent="0.45">
      <c r="A17" s="178">
        <v>1</v>
      </c>
      <c r="B17" s="179"/>
      <c r="C17" s="179"/>
      <c r="D17" s="186"/>
      <c r="E17" s="179"/>
      <c r="F17" s="179"/>
      <c r="H17" s="31" t="str">
        <f t="shared" ref="H17:H42" si="2">IF(ISBLANK(B17),"",SQRT(2*9.81*D17/1000))</f>
        <v/>
      </c>
      <c r="I17" s="31" t="e">
        <f>(2*E17-1)*I18</f>
        <v>#VALUE!</v>
      </c>
      <c r="J17" s="32" t="str">
        <f>IF(ISBLANK(B17),"",I17*C17/100)</f>
        <v/>
      </c>
      <c r="K17" s="31">
        <f>ABS(B18-B17)/2*C17/100</f>
        <v>0</v>
      </c>
      <c r="L17" s="151" t="str">
        <f>IF(ISBLANK(B17),"",I17*K17)</f>
        <v/>
      </c>
      <c r="M17" s="146">
        <f>IF(ISBLANK(B17),0,L17/$H$9)</f>
        <v>0</v>
      </c>
      <c r="N17" s="2" t="str">
        <f>IF(ISBLANK(B17),"",-C17/100)</f>
        <v/>
      </c>
      <c r="O17" s="38">
        <f>E17</f>
        <v>0</v>
      </c>
      <c r="P17" s="38">
        <f>B17</f>
        <v>0</v>
      </c>
      <c r="Q17" s="38" t="e">
        <f t="shared" ref="Q17:Q42" si="3">$O$18*((P17-P$17)/(P$42-P$17))^(1/$O$17-1)</f>
        <v>#VALUE!</v>
      </c>
      <c r="R17" s="38"/>
      <c r="S17" s="38" t="e">
        <f>LOOKUP(2,1/(B17:B42&lt;&gt;""),E17:E42)</f>
        <v>#N/A</v>
      </c>
      <c r="T17" s="38" t="e">
        <f>LOOKUP(2,1/(B17:B42&lt;&gt;""),B17:B42)</f>
        <v>#N/A</v>
      </c>
      <c r="U17" s="38" t="e">
        <f t="shared" ref="U17:U42" si="4">$S$18*((T17-T$17)/(T$42-T$17))^(1/$S$17-1)</f>
        <v>#N/A</v>
      </c>
      <c r="V17" s="38"/>
      <c r="W17" s="38" t="e">
        <f>IF(OR(B16="",B18=""),NA(),I17)</f>
        <v>#N/A</v>
      </c>
      <c r="X17" s="38"/>
      <c r="Y17" s="58">
        <f>P17</f>
        <v>0</v>
      </c>
      <c r="Z17" s="38">
        <v>0</v>
      </c>
      <c r="AA17" s="65">
        <f t="shared" ref="AA17:AA20" si="5">-Z17/100</f>
        <v>0</v>
      </c>
      <c r="AB17" s="33"/>
      <c r="AC17" s="41">
        <f>B17</f>
        <v>0</v>
      </c>
      <c r="AD17" s="6" t="e">
        <f>IF(OR($M17&gt;0.1,$B17=""),NA(),I17)</f>
        <v>#N/A</v>
      </c>
      <c r="AE17" s="6" t="e">
        <f>IF(AND($M17&gt;0.1,$M17&lt;0.15),I17,NA())</f>
        <v>#N/A</v>
      </c>
      <c r="AF17" s="6" t="e">
        <f>IF($M17&lt;0.15,NA(),I17)</f>
        <v>#N/A</v>
      </c>
      <c r="AG17" s="43">
        <f>IF($M17&gt;0.1,NA(),$M17)</f>
        <v>0</v>
      </c>
      <c r="AH17" s="43" t="e">
        <f>IF(AND($M17&gt;0.1,$M17&lt;0.15),$M17,NA())</f>
        <v>#N/A</v>
      </c>
      <c r="AI17" s="43" t="e">
        <f>IF($M17&lt;0.15,NA(),$M17)</f>
        <v>#N/A</v>
      </c>
      <c r="AJ17" s="125">
        <f>AP17</f>
        <v>0</v>
      </c>
      <c r="AL17" s="41">
        <f t="shared" ref="AL17:AL42" si="6">IF(ISBLANK(D17),0,J17)</f>
        <v>0</v>
      </c>
      <c r="AP17" s="153">
        <f>IF(ISNUMBER(L17),L17,0)</f>
        <v>0</v>
      </c>
      <c r="AQ17" s="41" t="e">
        <f>$AA$4/ABS(B18-B17)</f>
        <v>#DIV/0!</v>
      </c>
      <c r="AR17" s="41">
        <f>IF(C17=0,0,$AA$5/C17*100)</f>
        <v>0</v>
      </c>
      <c r="AS17" s="41" t="e">
        <f>IF(I18=0,0,$AA$11/I18)</f>
        <v>#VALUE!</v>
      </c>
      <c r="AT17" s="4">
        <f>IF(D18=0,0,SQRT($AA$6^2/4/(D18/1000)^2+$AA$7^2*D18/1000))</f>
        <v>0</v>
      </c>
      <c r="AU17" s="68" t="e">
        <f>SUM(AV17:AZ17)</f>
        <v>#VALUE!</v>
      </c>
      <c r="AV17" s="41" t="e">
        <f t="shared" ref="AV17:AV42" si="7">AP17^2/$H$9^2*(AQ17^2)</f>
        <v>#VALUE!</v>
      </c>
      <c r="AW17" s="41" t="e">
        <f t="shared" ref="AW17:AW42" si="8">AP17^2/$H$9^2*(AR17^2)</f>
        <v>#VALUE!</v>
      </c>
      <c r="AX17" s="41" t="e">
        <f t="shared" ref="AX17:AX42" si="9">AP17^2/$H$9^2*(AS17^2)</f>
        <v>#VALUE!</v>
      </c>
      <c r="AY17" s="41" t="e">
        <f>AP17^2/$H$9^2*(AT17^2)</f>
        <v>#VALUE!</v>
      </c>
      <c r="AZ17" s="11" t="e">
        <f>AP17^2/$H$9^2*($AA$8^2)</f>
        <v>#VALUE!</v>
      </c>
      <c r="BA17" s="25">
        <f>IF(C17=0,0,AN18*TAN($AA$9/180*PI())/(4*SQRT(3)*C17/100))</f>
        <v>0</v>
      </c>
      <c r="BB17" s="25">
        <f t="shared" ref="BB17:BB42" si="10">IF(OR(ISBLANK(E17),ISBLANK(B18)),MAX(0,$C17/100-$AN17/2*TAN($AC$9)),0)</f>
        <v>0</v>
      </c>
      <c r="BC17" s="25">
        <f t="shared" ref="BC17:BC42" si="11">IF(OR(ISBLANK(E17),ISBLANK(B16)),MAX(0,$C17/100-$AN18/2*TAN($AC$9)),0)</f>
        <v>0</v>
      </c>
      <c r="BD17" s="25">
        <f t="shared" ref="BD17:BD42" si="12">IF(OR(ISBLANK(E17),ISBLANK(B18)),$C17/100+$AN17/2*TAN($AC$9),0)</f>
        <v>0</v>
      </c>
      <c r="BE17" s="25">
        <f t="shared" ref="BE17:BE42" si="13">IF(OR(ISBLANK(E17),ISBLANK(B16)),$C17/100+$AN18/2*TAN($AC$9),0)</f>
        <v>0</v>
      </c>
      <c r="BF17" s="25">
        <f t="shared" ref="BF17:BF42" si="14">IF(C17=0,0,IF(ISBLANK($B17),0,((BD17-BB17)*$AN17+(BE17-BC17)*$AN18)/(($AN17+$AN18)*4*SQRT(3)*$C17/100)))</f>
        <v>0</v>
      </c>
      <c r="BG17" s="25">
        <f t="shared" ref="BG17:BG42" si="15">IF(C17=0,0,IF(ISBLANK($B17),0,$I17*SQRT(BB17/$C17*100)))</f>
        <v>0</v>
      </c>
      <c r="BH17" s="25">
        <f t="shared" ref="BH17:BH42" si="16">IF(C17=0,0,IF(ISBLANK($B17),0,$I17*SQRT(BC17/$C17*100)))</f>
        <v>0</v>
      </c>
      <c r="BI17" s="25">
        <f t="shared" ref="BI17:BI42" si="17">IF(C17=0,0,IF(ISBLANK($B17),0,$I17*SQRT(BD17/$C17*100)))</f>
        <v>0</v>
      </c>
      <c r="BJ17" s="25">
        <f t="shared" ref="BJ17:BJ42" si="18">IF(C17=0,0,IF(ISBLANK($B17),0,$I17*SQRT(BE17/$C17*100)))</f>
        <v>0</v>
      </c>
      <c r="BK17" s="25" t="e">
        <f>IF(I17=0,0,IF(ISBLANK($B17),0,((BI17-BG17)*$AN17+(BJ17-BH17)*$AN18)/(($AN17+$AN18)*4*SQRT(3)*$I17)))</f>
        <v>#VALUE!</v>
      </c>
      <c r="BM17" s="25" t="e">
        <f>$AP17^2/$H$9^2*(BF17^2)</f>
        <v>#VALUE!</v>
      </c>
      <c r="BN17" s="25" t="e">
        <f>$AP17^2/$H$9^2*(BK17^2)</f>
        <v>#VALUE!</v>
      </c>
      <c r="BO17" s="25" t="e">
        <f>ATAN(ABS(C18-C17)/100/AN18)</f>
        <v>#DIV/0!</v>
      </c>
      <c r="BP17" s="25" t="e">
        <f t="shared" ref="BP17:BP42" si="19">BO17*L17</f>
        <v>#DIV/0!</v>
      </c>
      <c r="BQ17" s="46" t="e">
        <f t="shared" ref="BQ17:BQ42" si="20">SUM(AV17:AZ17,BM17,BN17)</f>
        <v>#VALUE!</v>
      </c>
      <c r="BS17" s="122">
        <v>1</v>
      </c>
      <c r="BT17" s="122">
        <v>1</v>
      </c>
      <c r="BU17" s="154" t="str">
        <f>IF(ISNUMBER(BV17),IF(OR(ISBLANK(INDEX(B$17:B$43,BS17)),ISBLANK(INDEX(B$17:B$43,BT17))),INDEX(B$17:B$43,BS17),(INDEX(B$17:B$43,BS17)+INDEX(B$17:B$43,BT17))/2),BU16)</f>
        <v>x</v>
      </c>
      <c r="BV17" s="122" t="str">
        <f>INDEX(N$17:N$42,BS17)</f>
        <v/>
      </c>
    </row>
    <row r="18" spans="1:74" ht="36" customHeight="1" x14ac:dyDescent="0.45">
      <c r="A18" s="180">
        <v>2</v>
      </c>
      <c r="B18" s="181"/>
      <c r="C18" s="181"/>
      <c r="D18" s="181"/>
      <c r="E18" s="181"/>
      <c r="F18" s="181"/>
      <c r="H18" s="31" t="str">
        <f>IF(ISBLANK(B18),"",SQRT(2*9.81*D18/1000))</f>
        <v/>
      </c>
      <c r="I18" s="31" t="str">
        <f>IF(ISBLANK(B19),IF(ISBLANK(B18),"",(2*E18-1)*I17),MAX(0,$H$5*H18+$I$5))</f>
        <v/>
      </c>
      <c r="J18" s="32" t="str">
        <f t="shared" ref="J18:J42" si="21">IF(ISBLANK(B18),"",I18*C18/100)</f>
        <v/>
      </c>
      <c r="K18" s="31" t="str">
        <f>IF(ISBLANK(B18),"",IF(ISBLANK(B19),ABS(B17-B18)/2*C18/100,ABS(B19-B17)/2*C18/100))</f>
        <v/>
      </c>
      <c r="L18" s="151" t="str">
        <f t="shared" ref="L18:L30" si="22">IF(ISBLANK(B18),"",I18*K18)</f>
        <v/>
      </c>
      <c r="M18" s="40">
        <f t="shared" ref="M18:M42" si="23">IF(ISBLANK(B18),0,L18/$H$9)</f>
        <v>0</v>
      </c>
      <c r="N18" s="2" t="str">
        <f t="shared" ref="N18:N42" si="24">IF(ISBLANK(B18),"",-C18/100)</f>
        <v/>
      </c>
      <c r="O18" s="39" t="str">
        <f>I18</f>
        <v/>
      </c>
      <c r="P18" s="38">
        <f t="shared" ref="P18:P41" si="25">(P$42-P$17)/25+P17</f>
        <v>0</v>
      </c>
      <c r="Q18" s="38" t="e">
        <f t="shared" si="3"/>
        <v>#VALUE!</v>
      </c>
      <c r="R18" s="38"/>
      <c r="S18" s="39" t="e">
        <f>LOOKUP(2,1/(D17:D42&lt;&gt;""),I17:I42)</f>
        <v>#N/A</v>
      </c>
      <c r="T18" s="38" t="e">
        <f t="shared" ref="T18:T41" si="26">(T$42-T$17)/25+T17</f>
        <v>#N/A</v>
      </c>
      <c r="U18" s="38" t="e">
        <f t="shared" si="4"/>
        <v>#N/A</v>
      </c>
      <c r="V18" s="38"/>
      <c r="W18" s="38" t="e">
        <f>IF(OR(B17="",B19=""),NA(),I18)</f>
        <v>#N/A</v>
      </c>
      <c r="X18" s="38"/>
      <c r="Y18" s="58">
        <f>P17</f>
        <v>0</v>
      </c>
      <c r="Z18" s="38">
        <f>C17</f>
        <v>0</v>
      </c>
      <c r="AA18" s="65">
        <f t="shared" si="5"/>
        <v>0</v>
      </c>
      <c r="AB18" s="33"/>
      <c r="AC18" s="41">
        <f t="shared" ref="AC18:AC42" si="27">B18</f>
        <v>0</v>
      </c>
      <c r="AD18" s="6" t="e">
        <f t="shared" ref="AD18:AD42" si="28">IF(OR($M18&gt;0.1,$B18=""),NA(),I18)</f>
        <v>#N/A</v>
      </c>
      <c r="AE18" s="6" t="e">
        <f t="shared" ref="AE18:AE42" si="29">IF(AND($M18&gt;0.1,$M18&lt;0.15),I18,NA())</f>
        <v>#N/A</v>
      </c>
      <c r="AF18" s="6" t="e">
        <f t="shared" ref="AF18:AF42" si="30">IF($M18&lt;0.15,NA(),I18)</f>
        <v>#N/A</v>
      </c>
      <c r="AG18" s="43">
        <f t="shared" ref="AG18:AG42" si="31">IF($M18&gt;0.1,NA(),$M18)</f>
        <v>0</v>
      </c>
      <c r="AH18" s="43" t="e">
        <f t="shared" ref="AH18:AH42" si="32">IF(AND($M18&gt;0.1,$M18&lt;0.15),$M18,NA())</f>
        <v>#N/A</v>
      </c>
      <c r="AI18" s="43" t="e">
        <f t="shared" ref="AI18:AI42" si="33">IF($M18&lt;0.15,NA(),$M18)</f>
        <v>#N/A</v>
      </c>
      <c r="AJ18" s="125">
        <f>IF(D18="",AP18,0)</f>
        <v>0</v>
      </c>
      <c r="AL18" s="41">
        <f t="shared" si="6"/>
        <v>0</v>
      </c>
      <c r="AM18" s="41">
        <f>ABS(AL18-AL17)</f>
        <v>0</v>
      </c>
      <c r="AN18" s="41">
        <f>IF(ISBLANK(B18),0,ABS(B18-B17))</f>
        <v>0</v>
      </c>
      <c r="AO18" s="41">
        <f>AM18*AN18</f>
        <v>0</v>
      </c>
      <c r="AP18" s="153">
        <f t="shared" ref="AP18:AP42" si="34">IF(ISNUMBER(L18),L18,0)</f>
        <v>0</v>
      </c>
      <c r="AQ18" s="41">
        <f>IF(AP18=0,0,$AA$4/IF(ISBLANK(B19),ABS(B18-B17)/2,ABS(B19-B17)/2))</f>
        <v>0</v>
      </c>
      <c r="AR18" s="41">
        <f>IF(AP18=0,0,IF(C18=0,0,$AA$5/C18*100))</f>
        <v>0</v>
      </c>
      <c r="AS18" s="41">
        <f>IF(AP18=0,0,IF(ISBLANK(D18),$AA$11/I17,$AA$11/I18))</f>
        <v>0</v>
      </c>
      <c r="AT18" s="45">
        <f t="shared" ref="AT18:AT42" si="35">IF(AP18=0,0,IF(ISBLANK(B19),SQRT($AA$6^2/4/(D17/1000)^2+$AA$7^2*D17/1000),IF(AP18=0,0,SQRT($AA$6^2/4/(D18/1000)^2+$AA$7^2*D18/1000))))</f>
        <v>0</v>
      </c>
      <c r="AU18" s="68" t="e">
        <f t="shared" ref="AU18:AU42" si="36">SUM(AV18:AZ18)</f>
        <v>#VALUE!</v>
      </c>
      <c r="AV18" s="41" t="e">
        <f t="shared" si="7"/>
        <v>#VALUE!</v>
      </c>
      <c r="AW18" s="41" t="e">
        <f t="shared" si="8"/>
        <v>#VALUE!</v>
      </c>
      <c r="AX18" s="41" t="e">
        <f t="shared" si="9"/>
        <v>#VALUE!</v>
      </c>
      <c r="AY18" s="41" t="e">
        <f t="shared" ref="AY18:AY42" si="37">AP18^2/$H$9^2*(AT18^2)</f>
        <v>#VALUE!</v>
      </c>
      <c r="AZ18" s="11">
        <f>IF(AP18=0,0,IF(ISBLANK(B19),AP18^2/$H$9^2*($AA$8^2),0))</f>
        <v>0</v>
      </c>
      <c r="BA18" s="25">
        <f t="shared" ref="BA18:BA42" si="38">IF(C18=0,0,IF(ISBLANK(B18),0,IF(ISBLANK(E18),(AN18^2+AN19^2)*TAN($AA$9/180*PI())/(4*SQRT(3)*C18/100*(AN18+AN19)),AN18*TAN($AA$9/180*PI())/(4*SQRT(3)*C18/100))))</f>
        <v>0</v>
      </c>
      <c r="BB18" s="25">
        <f t="shared" si="10"/>
        <v>0</v>
      </c>
      <c r="BC18" s="25">
        <f t="shared" si="11"/>
        <v>0</v>
      </c>
      <c r="BD18" s="25">
        <f t="shared" si="12"/>
        <v>0</v>
      </c>
      <c r="BE18" s="25">
        <f t="shared" si="13"/>
        <v>0</v>
      </c>
      <c r="BF18" s="25">
        <f t="shared" si="14"/>
        <v>0</v>
      </c>
      <c r="BG18" s="25">
        <f t="shared" si="15"/>
        <v>0</v>
      </c>
      <c r="BH18" s="25">
        <f t="shared" si="16"/>
        <v>0</v>
      </c>
      <c r="BI18" s="25">
        <f t="shared" si="17"/>
        <v>0</v>
      </c>
      <c r="BJ18" s="25">
        <f t="shared" si="18"/>
        <v>0</v>
      </c>
      <c r="BK18" s="25">
        <f t="shared" ref="BK18:BK42" si="39">IF(I18=0,0,IF(C18=0,0,IF(ISBLANK($B18),0,((BI18-BG18)*$AN18+(BJ18-BH18)*$AN19)/(($AN18+$AN19)*4*SQRT(3)*$I18))))</f>
        <v>0</v>
      </c>
      <c r="BM18" s="25" t="e">
        <f t="shared" ref="BM18:BM42" si="40">$AP18^2/$H$9^2*(BF18^2)</f>
        <v>#VALUE!</v>
      </c>
      <c r="BN18" s="25" t="e">
        <f t="shared" ref="BN18:BN42" si="41">$AP18^2/$H$9^2*(BK18^2)</f>
        <v>#VALUE!</v>
      </c>
      <c r="BO18" s="25" t="e">
        <f>IF(ISBLANK($B18),NA(),IF(AN19=0,ATAN(ABS(C18-C17)/100/AN18),(ATAN(ABS(C18-C17)/100/AN18)+ATAN(ABS(C19-C18)/100/AN19))/2))</f>
        <v>#N/A</v>
      </c>
      <c r="BP18" s="25" t="e">
        <f t="shared" si="19"/>
        <v>#N/A</v>
      </c>
      <c r="BQ18" s="46" t="e">
        <f t="shared" si="20"/>
        <v>#VALUE!</v>
      </c>
      <c r="BS18" s="155">
        <v>1</v>
      </c>
      <c r="BT18" s="155">
        <f>BS18+1</f>
        <v>2</v>
      </c>
      <c r="BU18" s="154" t="str">
        <f t="shared" ref="BU18:BU81" si="42">IF(ISNUMBER(BV18),IF(OR(ISBLANK(INDEX(B$17:B$43,BS18)),ISBLANK(INDEX(B$17:B$43,BT18))),INDEX(B$17:B$43,BS18),(INDEX(B$17:B$43,BS18)+INDEX(B$17:B$43,BT18))/2),BU17)</f>
        <v>x</v>
      </c>
      <c r="BV18" s="155" t="str">
        <f t="shared" ref="BV18:BV81" si="43">INDEX(N$17:N$42,BS18)</f>
        <v/>
      </c>
    </row>
    <row r="19" spans="1:74" ht="36" customHeight="1" x14ac:dyDescent="0.45">
      <c r="A19" s="178">
        <v>3</v>
      </c>
      <c r="B19" s="179"/>
      <c r="C19" s="179"/>
      <c r="D19" s="179"/>
      <c r="E19" s="179"/>
      <c r="F19" s="179"/>
      <c r="H19" s="31" t="str">
        <f t="shared" si="2"/>
        <v/>
      </c>
      <c r="I19" s="31" t="str">
        <f>IF(ISBLANK(B20),IF(ISBLANK(B19),"",(2*E19-1)*I18),MAX(0,$H$5*H19+$I$5))</f>
        <v/>
      </c>
      <c r="J19" s="32" t="str">
        <f t="shared" si="21"/>
        <v/>
      </c>
      <c r="K19" s="31" t="str">
        <f t="shared" ref="K19:K42" si="44">IF(ISBLANK(B19),"",IF(ISBLANK(B20),ABS(B18-B19)/2*C19/100,ABS(B20-B18)/2*C19/100))</f>
        <v/>
      </c>
      <c r="L19" s="151" t="str">
        <f t="shared" si="22"/>
        <v/>
      </c>
      <c r="M19" s="40">
        <f t="shared" si="23"/>
        <v>0</v>
      </c>
      <c r="N19" s="2" t="str">
        <f t="shared" si="24"/>
        <v/>
      </c>
      <c r="O19" s="38"/>
      <c r="P19" s="38">
        <f t="shared" si="25"/>
        <v>0</v>
      </c>
      <c r="Q19" s="38" t="e">
        <f t="shared" si="3"/>
        <v>#VALUE!</v>
      </c>
      <c r="R19" s="38"/>
      <c r="S19" s="38"/>
      <c r="T19" s="38" t="e">
        <f t="shared" si="26"/>
        <v>#N/A</v>
      </c>
      <c r="U19" s="38" t="e">
        <f t="shared" si="4"/>
        <v>#N/A</v>
      </c>
      <c r="V19" s="38"/>
      <c r="W19" s="38" t="e">
        <f t="shared" ref="W19:W42" si="45">IF(OR(B18="",B20=""),NA(),I19)</f>
        <v>#N/A</v>
      </c>
      <c r="X19" s="38"/>
      <c r="Y19" s="58"/>
      <c r="Z19" s="38"/>
      <c r="AA19" s="65"/>
      <c r="AB19" s="33"/>
      <c r="AC19" s="41">
        <f t="shared" si="27"/>
        <v>0</v>
      </c>
      <c r="AD19" s="6" t="e">
        <f t="shared" si="28"/>
        <v>#N/A</v>
      </c>
      <c r="AE19" s="6" t="e">
        <f t="shared" si="29"/>
        <v>#N/A</v>
      </c>
      <c r="AF19" s="6" t="e">
        <f t="shared" si="30"/>
        <v>#N/A</v>
      </c>
      <c r="AG19" s="43">
        <f t="shared" si="31"/>
        <v>0</v>
      </c>
      <c r="AH19" s="43" t="e">
        <f t="shared" si="32"/>
        <v>#N/A</v>
      </c>
      <c r="AI19" s="43" t="e">
        <f t="shared" si="33"/>
        <v>#N/A</v>
      </c>
      <c r="AJ19" s="125">
        <f t="shared" ref="AJ19:AJ42" si="46">IF(D19="",AP19,0)</f>
        <v>0</v>
      </c>
      <c r="AL19" s="41">
        <f t="shared" si="6"/>
        <v>0</v>
      </c>
      <c r="AM19" s="41">
        <f t="shared" ref="AM19:AM42" si="47">ABS(AL19-AL18)</f>
        <v>0</v>
      </c>
      <c r="AN19" s="41">
        <f t="shared" ref="AN19:AN42" si="48">IF(ISBLANK(B19),0,ABS(B19-B18))</f>
        <v>0</v>
      </c>
      <c r="AO19" s="41">
        <f t="shared" ref="AO19:AO42" si="49">AM19*AN19</f>
        <v>0</v>
      </c>
      <c r="AP19" s="153">
        <f t="shared" si="34"/>
        <v>0</v>
      </c>
      <c r="AQ19" s="41">
        <f t="shared" ref="AQ19:AQ42" si="50">IF(AP19=0,0,$AA$4/IF(ISBLANK(B20),ABS(B19-B18)/2,ABS(B20-B18)/2))</f>
        <v>0</v>
      </c>
      <c r="AR19" s="41">
        <f t="shared" ref="AR19:AR42" si="51">IF(AP19=0,0,IF(C19=0,0,$AA$5/C19*100))</f>
        <v>0</v>
      </c>
      <c r="AS19" s="41">
        <f t="shared" ref="AS19:AS42" si="52">IF(AP19=0,0,IF(ISBLANK(D19),$AA$11/I18,$AA$11/I19))</f>
        <v>0</v>
      </c>
      <c r="AT19" s="45">
        <f t="shared" si="35"/>
        <v>0</v>
      </c>
      <c r="AU19" s="68" t="e">
        <f t="shared" si="36"/>
        <v>#VALUE!</v>
      </c>
      <c r="AV19" s="41" t="e">
        <f t="shared" si="7"/>
        <v>#VALUE!</v>
      </c>
      <c r="AW19" s="41" t="e">
        <f t="shared" si="8"/>
        <v>#VALUE!</v>
      </c>
      <c r="AX19" s="41" t="e">
        <f t="shared" si="9"/>
        <v>#VALUE!</v>
      </c>
      <c r="AY19" s="41" t="e">
        <f t="shared" si="37"/>
        <v>#VALUE!</v>
      </c>
      <c r="AZ19" s="11">
        <f t="shared" ref="AZ19:AZ42" si="53">IF(AP19=0,0,IF(ISBLANK(B20),AP19^2/$H$9^2*($AA$8^2),0))</f>
        <v>0</v>
      </c>
      <c r="BA19" s="25">
        <f t="shared" si="38"/>
        <v>0</v>
      </c>
      <c r="BB19" s="25">
        <f t="shared" si="10"/>
        <v>0</v>
      </c>
      <c r="BC19" s="25">
        <f t="shared" si="11"/>
        <v>0</v>
      </c>
      <c r="BD19" s="25">
        <f t="shared" si="12"/>
        <v>0</v>
      </c>
      <c r="BE19" s="25">
        <f t="shared" si="13"/>
        <v>0</v>
      </c>
      <c r="BF19" s="25">
        <f t="shared" si="14"/>
        <v>0</v>
      </c>
      <c r="BG19" s="25">
        <f t="shared" si="15"/>
        <v>0</v>
      </c>
      <c r="BH19" s="25">
        <f t="shared" si="16"/>
        <v>0</v>
      </c>
      <c r="BI19" s="25">
        <f t="shared" si="17"/>
        <v>0</v>
      </c>
      <c r="BJ19" s="25">
        <f t="shared" si="18"/>
        <v>0</v>
      </c>
      <c r="BK19" s="25">
        <f t="shared" si="39"/>
        <v>0</v>
      </c>
      <c r="BM19" s="25" t="e">
        <f t="shared" si="40"/>
        <v>#VALUE!</v>
      </c>
      <c r="BN19" s="25" t="e">
        <f t="shared" si="41"/>
        <v>#VALUE!</v>
      </c>
      <c r="BO19" s="25" t="e">
        <f t="shared" ref="BO19:BO42" si="54">IF(ISBLANK($B19),NA(),IF(AN20=0,ATAN(ABS(C19-C18)/100/AN19),(ATAN(ABS(C19-C18)/100/AN19)+ATAN(ABS(C20-C19)/100/AN20))/2))</f>
        <v>#N/A</v>
      </c>
      <c r="BP19" s="25" t="e">
        <f t="shared" si="19"/>
        <v>#N/A</v>
      </c>
      <c r="BQ19" s="46" t="e">
        <f t="shared" si="20"/>
        <v>#VALUE!</v>
      </c>
      <c r="BS19" s="155">
        <v>1</v>
      </c>
      <c r="BT19" s="155">
        <f>BT18</f>
        <v>2</v>
      </c>
      <c r="BU19" s="154" t="str">
        <f t="shared" si="42"/>
        <v>x</v>
      </c>
      <c r="BV19" s="155" t="str">
        <f>IF(ISBLANK(INDEX(B$17:B$42,BS19)),BV18,$BV$15)</f>
        <v/>
      </c>
    </row>
    <row r="20" spans="1:74" ht="36" customHeight="1" x14ac:dyDescent="0.45">
      <c r="A20" s="180">
        <v>4</v>
      </c>
      <c r="B20" s="181"/>
      <c r="C20" s="181"/>
      <c r="D20" s="181"/>
      <c r="E20" s="181"/>
      <c r="F20" s="181"/>
      <c r="H20" s="31" t="str">
        <f t="shared" si="2"/>
        <v/>
      </c>
      <c r="I20" s="31" t="str">
        <f t="shared" ref="I20:I42" si="55">IF(ISBLANK(B21),IF(ISBLANK(B20),"",(2*E20-1)*I19),MAX(0,$H$5*H20+$I$5))</f>
        <v/>
      </c>
      <c r="J20" s="32" t="str">
        <f t="shared" si="21"/>
        <v/>
      </c>
      <c r="K20" s="31" t="str">
        <f t="shared" si="44"/>
        <v/>
      </c>
      <c r="L20" s="151" t="str">
        <f t="shared" si="22"/>
        <v/>
      </c>
      <c r="M20" s="40">
        <f t="shared" si="23"/>
        <v>0</v>
      </c>
      <c r="N20" s="2" t="str">
        <f t="shared" si="24"/>
        <v/>
      </c>
      <c r="O20" s="38"/>
      <c r="P20" s="38">
        <f t="shared" si="25"/>
        <v>0</v>
      </c>
      <c r="Q20" s="38" t="e">
        <f t="shared" si="3"/>
        <v>#VALUE!</v>
      </c>
      <c r="R20" s="38"/>
      <c r="S20" s="38"/>
      <c r="T20" s="38" t="e">
        <f t="shared" si="26"/>
        <v>#N/A</v>
      </c>
      <c r="U20" s="38" t="e">
        <f t="shared" si="4"/>
        <v>#N/A</v>
      </c>
      <c r="V20" s="38"/>
      <c r="W20" s="38" t="e">
        <f t="shared" si="45"/>
        <v>#N/A</v>
      </c>
      <c r="X20" s="38"/>
      <c r="Y20" s="58" t="e">
        <f>T17</f>
        <v>#N/A</v>
      </c>
      <c r="Z20" s="38">
        <v>0</v>
      </c>
      <c r="AA20" s="65">
        <f t="shared" si="5"/>
        <v>0</v>
      </c>
      <c r="AB20" s="33"/>
      <c r="AC20" s="41">
        <f t="shared" si="27"/>
        <v>0</v>
      </c>
      <c r="AD20" s="6" t="e">
        <f t="shared" si="28"/>
        <v>#N/A</v>
      </c>
      <c r="AE20" s="6" t="e">
        <f t="shared" si="29"/>
        <v>#N/A</v>
      </c>
      <c r="AF20" s="6" t="e">
        <f t="shared" si="30"/>
        <v>#N/A</v>
      </c>
      <c r="AG20" s="43">
        <f t="shared" si="31"/>
        <v>0</v>
      </c>
      <c r="AH20" s="43" t="e">
        <f t="shared" si="32"/>
        <v>#N/A</v>
      </c>
      <c r="AI20" s="43" t="e">
        <f t="shared" si="33"/>
        <v>#N/A</v>
      </c>
      <c r="AJ20" s="125">
        <f t="shared" si="46"/>
        <v>0</v>
      </c>
      <c r="AL20" s="41">
        <f t="shared" si="6"/>
        <v>0</v>
      </c>
      <c r="AM20" s="41">
        <f t="shared" si="47"/>
        <v>0</v>
      </c>
      <c r="AN20" s="41">
        <f t="shared" si="48"/>
        <v>0</v>
      </c>
      <c r="AO20" s="41">
        <f t="shared" si="49"/>
        <v>0</v>
      </c>
      <c r="AP20" s="153">
        <f t="shared" si="34"/>
        <v>0</v>
      </c>
      <c r="AQ20" s="41">
        <f t="shared" si="50"/>
        <v>0</v>
      </c>
      <c r="AR20" s="41">
        <f t="shared" si="51"/>
        <v>0</v>
      </c>
      <c r="AS20" s="41">
        <f t="shared" si="52"/>
        <v>0</v>
      </c>
      <c r="AT20" s="45">
        <f t="shared" si="35"/>
        <v>0</v>
      </c>
      <c r="AU20" s="68" t="e">
        <f t="shared" si="36"/>
        <v>#VALUE!</v>
      </c>
      <c r="AV20" s="41" t="e">
        <f t="shared" si="7"/>
        <v>#VALUE!</v>
      </c>
      <c r="AW20" s="41" t="e">
        <f t="shared" si="8"/>
        <v>#VALUE!</v>
      </c>
      <c r="AX20" s="41" t="e">
        <f t="shared" si="9"/>
        <v>#VALUE!</v>
      </c>
      <c r="AY20" s="41" t="e">
        <f t="shared" si="37"/>
        <v>#VALUE!</v>
      </c>
      <c r="AZ20" s="11">
        <f t="shared" si="53"/>
        <v>0</v>
      </c>
      <c r="BA20" s="25">
        <f t="shared" si="38"/>
        <v>0</v>
      </c>
      <c r="BB20" s="25">
        <f t="shared" si="10"/>
        <v>0</v>
      </c>
      <c r="BC20" s="25">
        <f t="shared" si="11"/>
        <v>0</v>
      </c>
      <c r="BD20" s="25">
        <f t="shared" si="12"/>
        <v>0</v>
      </c>
      <c r="BE20" s="25">
        <f t="shared" si="13"/>
        <v>0</v>
      </c>
      <c r="BF20" s="25">
        <f t="shared" si="14"/>
        <v>0</v>
      </c>
      <c r="BG20" s="25">
        <f t="shared" si="15"/>
        <v>0</v>
      </c>
      <c r="BH20" s="25">
        <f t="shared" si="16"/>
        <v>0</v>
      </c>
      <c r="BI20" s="25">
        <f t="shared" si="17"/>
        <v>0</v>
      </c>
      <c r="BJ20" s="25">
        <f t="shared" si="18"/>
        <v>0</v>
      </c>
      <c r="BK20" s="25">
        <f t="shared" si="39"/>
        <v>0</v>
      </c>
      <c r="BM20" s="25" t="e">
        <f t="shared" si="40"/>
        <v>#VALUE!</v>
      </c>
      <c r="BN20" s="25" t="e">
        <f t="shared" si="41"/>
        <v>#VALUE!</v>
      </c>
      <c r="BO20" s="25" t="e">
        <f t="shared" si="54"/>
        <v>#N/A</v>
      </c>
      <c r="BP20" s="25" t="e">
        <f t="shared" si="19"/>
        <v>#N/A</v>
      </c>
      <c r="BQ20" s="46" t="e">
        <f t="shared" si="20"/>
        <v>#VALUE!</v>
      </c>
      <c r="BS20" s="155">
        <v>2</v>
      </c>
      <c r="BT20" s="155">
        <f>BT18-1</f>
        <v>1</v>
      </c>
      <c r="BU20" s="154" t="str">
        <f t="shared" si="42"/>
        <v>x</v>
      </c>
      <c r="BV20" s="155" t="str">
        <f>INDEX(N$17:N$42,BS20)</f>
        <v/>
      </c>
    </row>
    <row r="21" spans="1:74" ht="36" customHeight="1" x14ac:dyDescent="0.45">
      <c r="A21" s="178">
        <v>5</v>
      </c>
      <c r="B21" s="179"/>
      <c r="C21" s="179"/>
      <c r="D21" s="179"/>
      <c r="E21" s="179"/>
      <c r="F21" s="179"/>
      <c r="H21" s="31" t="str">
        <f t="shared" si="2"/>
        <v/>
      </c>
      <c r="I21" s="31" t="str">
        <f t="shared" si="55"/>
        <v/>
      </c>
      <c r="J21" s="32" t="str">
        <f t="shared" si="21"/>
        <v/>
      </c>
      <c r="K21" s="31" t="str">
        <f t="shared" si="44"/>
        <v/>
      </c>
      <c r="L21" s="151" t="str">
        <f t="shared" si="22"/>
        <v/>
      </c>
      <c r="M21" s="40">
        <f t="shared" si="23"/>
        <v>0</v>
      </c>
      <c r="N21" s="2" t="str">
        <f t="shared" si="24"/>
        <v/>
      </c>
      <c r="O21" s="38"/>
      <c r="P21" s="38">
        <f t="shared" si="25"/>
        <v>0</v>
      </c>
      <c r="Q21" s="38" t="e">
        <f t="shared" si="3"/>
        <v>#VALUE!</v>
      </c>
      <c r="R21" s="38"/>
      <c r="S21" s="38"/>
      <c r="T21" s="38" t="e">
        <f t="shared" si="26"/>
        <v>#N/A</v>
      </c>
      <c r="U21" s="38" t="e">
        <f t="shared" si="4"/>
        <v>#N/A</v>
      </c>
      <c r="V21" s="38"/>
      <c r="W21" s="38" t="e">
        <f t="shared" si="45"/>
        <v>#N/A</v>
      </c>
      <c r="X21" s="38"/>
      <c r="Y21" s="58" t="e">
        <f>T17</f>
        <v>#N/A</v>
      </c>
      <c r="Z21" s="38" t="e">
        <f>LOOKUP(2,1/(B17:B42&lt;&gt;""),C17:C42)</f>
        <v>#N/A</v>
      </c>
      <c r="AA21" s="65" t="e">
        <f>-Z21/100</f>
        <v>#N/A</v>
      </c>
      <c r="AB21" s="33"/>
      <c r="AC21" s="41">
        <f t="shared" si="27"/>
        <v>0</v>
      </c>
      <c r="AD21" s="6" t="e">
        <f t="shared" si="28"/>
        <v>#N/A</v>
      </c>
      <c r="AE21" s="6" t="e">
        <f t="shared" si="29"/>
        <v>#N/A</v>
      </c>
      <c r="AF21" s="6" t="e">
        <f t="shared" si="30"/>
        <v>#N/A</v>
      </c>
      <c r="AG21" s="43">
        <f t="shared" si="31"/>
        <v>0</v>
      </c>
      <c r="AH21" s="43" t="e">
        <f t="shared" si="32"/>
        <v>#N/A</v>
      </c>
      <c r="AI21" s="43" t="e">
        <f t="shared" si="33"/>
        <v>#N/A</v>
      </c>
      <c r="AJ21" s="125">
        <f t="shared" si="46"/>
        <v>0</v>
      </c>
      <c r="AL21" s="41">
        <f t="shared" si="6"/>
        <v>0</v>
      </c>
      <c r="AM21" s="41">
        <f t="shared" si="47"/>
        <v>0</v>
      </c>
      <c r="AN21" s="41">
        <f t="shared" si="48"/>
        <v>0</v>
      </c>
      <c r="AO21" s="41">
        <f t="shared" si="49"/>
        <v>0</v>
      </c>
      <c r="AP21" s="153">
        <f t="shared" si="34"/>
        <v>0</v>
      </c>
      <c r="AQ21" s="41">
        <f t="shared" si="50"/>
        <v>0</v>
      </c>
      <c r="AR21" s="41">
        <f t="shared" si="51"/>
        <v>0</v>
      </c>
      <c r="AS21" s="41">
        <f t="shared" si="52"/>
        <v>0</v>
      </c>
      <c r="AT21" s="45">
        <f t="shared" si="35"/>
        <v>0</v>
      </c>
      <c r="AU21" s="68" t="e">
        <f t="shared" si="36"/>
        <v>#VALUE!</v>
      </c>
      <c r="AV21" s="41" t="e">
        <f t="shared" si="7"/>
        <v>#VALUE!</v>
      </c>
      <c r="AW21" s="41" t="e">
        <f t="shared" si="8"/>
        <v>#VALUE!</v>
      </c>
      <c r="AX21" s="41" t="e">
        <f t="shared" si="9"/>
        <v>#VALUE!</v>
      </c>
      <c r="AY21" s="41" t="e">
        <f t="shared" si="37"/>
        <v>#VALUE!</v>
      </c>
      <c r="AZ21" s="11">
        <f t="shared" si="53"/>
        <v>0</v>
      </c>
      <c r="BA21" s="25">
        <f t="shared" si="38"/>
        <v>0</v>
      </c>
      <c r="BB21" s="25">
        <f t="shared" si="10"/>
        <v>0</v>
      </c>
      <c r="BC21" s="25">
        <f t="shared" si="11"/>
        <v>0</v>
      </c>
      <c r="BD21" s="25">
        <f t="shared" si="12"/>
        <v>0</v>
      </c>
      <c r="BE21" s="25">
        <f t="shared" si="13"/>
        <v>0</v>
      </c>
      <c r="BF21" s="25">
        <f t="shared" si="14"/>
        <v>0</v>
      </c>
      <c r="BG21" s="25">
        <f t="shared" si="15"/>
        <v>0</v>
      </c>
      <c r="BH21" s="25">
        <f t="shared" si="16"/>
        <v>0</v>
      </c>
      <c r="BI21" s="25">
        <f t="shared" si="17"/>
        <v>0</v>
      </c>
      <c r="BJ21" s="25">
        <f t="shared" si="18"/>
        <v>0</v>
      </c>
      <c r="BK21" s="25">
        <f t="shared" si="39"/>
        <v>0</v>
      </c>
      <c r="BM21" s="25" t="e">
        <f t="shared" si="40"/>
        <v>#VALUE!</v>
      </c>
      <c r="BN21" s="25" t="e">
        <f t="shared" si="41"/>
        <v>#VALUE!</v>
      </c>
      <c r="BO21" s="25" t="e">
        <f t="shared" si="54"/>
        <v>#N/A</v>
      </c>
      <c r="BP21" s="25" t="e">
        <f t="shared" si="19"/>
        <v>#N/A</v>
      </c>
      <c r="BQ21" s="46" t="e">
        <f t="shared" si="20"/>
        <v>#VALUE!</v>
      </c>
      <c r="BS21" s="122">
        <f>BS18+1</f>
        <v>2</v>
      </c>
      <c r="BT21" s="122">
        <f>BT18+1</f>
        <v>3</v>
      </c>
      <c r="BU21" s="154" t="str">
        <f t="shared" si="42"/>
        <v>x</v>
      </c>
      <c r="BV21" s="155" t="str">
        <f t="shared" si="43"/>
        <v/>
      </c>
    </row>
    <row r="22" spans="1:74" ht="36" customHeight="1" x14ac:dyDescent="0.45">
      <c r="A22" s="180">
        <v>6</v>
      </c>
      <c r="B22" s="181"/>
      <c r="C22" s="181"/>
      <c r="D22" s="181"/>
      <c r="E22" s="181"/>
      <c r="F22" s="181"/>
      <c r="H22" s="31" t="str">
        <f t="shared" si="2"/>
        <v/>
      </c>
      <c r="I22" s="31" t="str">
        <f t="shared" si="55"/>
        <v/>
      </c>
      <c r="J22" s="32" t="str">
        <f t="shared" si="21"/>
        <v/>
      </c>
      <c r="K22" s="31" t="str">
        <f t="shared" si="44"/>
        <v/>
      </c>
      <c r="L22" s="151" t="str">
        <f t="shared" si="22"/>
        <v/>
      </c>
      <c r="M22" s="40">
        <f t="shared" si="23"/>
        <v>0</v>
      </c>
      <c r="N22" s="2" t="str">
        <f t="shared" si="24"/>
        <v/>
      </c>
      <c r="O22" s="38"/>
      <c r="P22" s="38">
        <f t="shared" si="25"/>
        <v>0</v>
      </c>
      <c r="Q22" s="38" t="e">
        <f t="shared" si="3"/>
        <v>#VALUE!</v>
      </c>
      <c r="R22" s="38"/>
      <c r="S22" s="38"/>
      <c r="T22" s="38" t="e">
        <f t="shared" si="26"/>
        <v>#N/A</v>
      </c>
      <c r="U22" s="38" t="e">
        <f t="shared" si="4"/>
        <v>#N/A</v>
      </c>
      <c r="V22" s="38"/>
      <c r="W22" s="38" t="e">
        <f t="shared" si="45"/>
        <v>#N/A</v>
      </c>
      <c r="X22" s="38"/>
      <c r="Y22" s="58"/>
      <c r="Z22" s="38"/>
      <c r="AA22" s="65"/>
      <c r="AB22" s="33"/>
      <c r="AC22" s="41">
        <f t="shared" si="27"/>
        <v>0</v>
      </c>
      <c r="AD22" s="6" t="e">
        <f t="shared" si="28"/>
        <v>#N/A</v>
      </c>
      <c r="AE22" s="6" t="e">
        <f t="shared" si="29"/>
        <v>#N/A</v>
      </c>
      <c r="AF22" s="6" t="e">
        <f t="shared" si="30"/>
        <v>#N/A</v>
      </c>
      <c r="AG22" s="43">
        <f t="shared" si="31"/>
        <v>0</v>
      </c>
      <c r="AH22" s="43" t="e">
        <f t="shared" si="32"/>
        <v>#N/A</v>
      </c>
      <c r="AI22" s="43" t="e">
        <f t="shared" si="33"/>
        <v>#N/A</v>
      </c>
      <c r="AJ22" s="125">
        <f t="shared" si="46"/>
        <v>0</v>
      </c>
      <c r="AL22" s="41">
        <f t="shared" si="6"/>
        <v>0</v>
      </c>
      <c r="AM22" s="41">
        <f t="shared" si="47"/>
        <v>0</v>
      </c>
      <c r="AN22" s="41">
        <f t="shared" si="48"/>
        <v>0</v>
      </c>
      <c r="AO22" s="41">
        <f t="shared" si="49"/>
        <v>0</v>
      </c>
      <c r="AP22" s="153">
        <f t="shared" si="34"/>
        <v>0</v>
      </c>
      <c r="AQ22" s="41">
        <f t="shared" si="50"/>
        <v>0</v>
      </c>
      <c r="AR22" s="41">
        <f t="shared" si="51"/>
        <v>0</v>
      </c>
      <c r="AS22" s="41">
        <f t="shared" si="52"/>
        <v>0</v>
      </c>
      <c r="AT22" s="45">
        <f t="shared" si="35"/>
        <v>0</v>
      </c>
      <c r="AU22" s="68" t="e">
        <f t="shared" si="36"/>
        <v>#VALUE!</v>
      </c>
      <c r="AV22" s="41" t="e">
        <f t="shared" si="7"/>
        <v>#VALUE!</v>
      </c>
      <c r="AW22" s="41" t="e">
        <f t="shared" si="8"/>
        <v>#VALUE!</v>
      </c>
      <c r="AX22" s="41" t="e">
        <f t="shared" si="9"/>
        <v>#VALUE!</v>
      </c>
      <c r="AY22" s="41" t="e">
        <f t="shared" si="37"/>
        <v>#VALUE!</v>
      </c>
      <c r="AZ22" s="11">
        <f t="shared" si="53"/>
        <v>0</v>
      </c>
      <c r="BA22" s="25">
        <f t="shared" si="38"/>
        <v>0</v>
      </c>
      <c r="BB22" s="25">
        <f t="shared" si="10"/>
        <v>0</v>
      </c>
      <c r="BC22" s="25">
        <f t="shared" si="11"/>
        <v>0</v>
      </c>
      <c r="BD22" s="25">
        <f t="shared" si="12"/>
        <v>0</v>
      </c>
      <c r="BE22" s="25">
        <f t="shared" si="13"/>
        <v>0</v>
      </c>
      <c r="BF22" s="25">
        <f t="shared" si="14"/>
        <v>0</v>
      </c>
      <c r="BG22" s="25">
        <f t="shared" si="15"/>
        <v>0</v>
      </c>
      <c r="BH22" s="25">
        <f t="shared" si="16"/>
        <v>0</v>
      </c>
      <c r="BI22" s="25">
        <f t="shared" si="17"/>
        <v>0</v>
      </c>
      <c r="BJ22" s="25">
        <f t="shared" si="18"/>
        <v>0</v>
      </c>
      <c r="BK22" s="25">
        <f t="shared" si="39"/>
        <v>0</v>
      </c>
      <c r="BM22" s="25" t="e">
        <f t="shared" si="40"/>
        <v>#VALUE!</v>
      </c>
      <c r="BN22" s="25" t="e">
        <f t="shared" si="41"/>
        <v>#VALUE!</v>
      </c>
      <c r="BO22" s="25" t="e">
        <f t="shared" si="54"/>
        <v>#N/A</v>
      </c>
      <c r="BP22" s="25" t="e">
        <f t="shared" si="19"/>
        <v>#N/A</v>
      </c>
      <c r="BQ22" s="46" t="e">
        <f t="shared" si="20"/>
        <v>#VALUE!</v>
      </c>
      <c r="BS22" s="122">
        <f t="shared" ref="BS22:BT22" si="56">BS19+1</f>
        <v>2</v>
      </c>
      <c r="BT22" s="122">
        <f t="shared" si="56"/>
        <v>3</v>
      </c>
      <c r="BU22" s="154" t="str">
        <f t="shared" si="42"/>
        <v>x</v>
      </c>
      <c r="BV22" s="155" t="str">
        <f t="shared" ref="BV22" si="57">IF(ISBLANK(INDEX(B$17:B$42,BS22)),BV21,$BV$15)</f>
        <v/>
      </c>
    </row>
    <row r="23" spans="1:74" ht="36" customHeight="1" x14ac:dyDescent="0.45">
      <c r="A23" s="178">
        <v>7</v>
      </c>
      <c r="B23" s="179"/>
      <c r="C23" s="179"/>
      <c r="D23" s="179"/>
      <c r="E23" s="179"/>
      <c r="F23" s="179"/>
      <c r="H23" s="31" t="str">
        <f t="shared" si="2"/>
        <v/>
      </c>
      <c r="I23" s="31" t="str">
        <f t="shared" si="55"/>
        <v/>
      </c>
      <c r="J23" s="32" t="str">
        <f t="shared" si="21"/>
        <v/>
      </c>
      <c r="K23" s="31" t="str">
        <f t="shared" si="44"/>
        <v/>
      </c>
      <c r="L23" s="151" t="str">
        <f t="shared" si="22"/>
        <v/>
      </c>
      <c r="M23" s="40">
        <f t="shared" si="23"/>
        <v>0</v>
      </c>
      <c r="N23" s="2" t="str">
        <f t="shared" si="24"/>
        <v/>
      </c>
      <c r="O23" s="38"/>
      <c r="P23" s="38">
        <f t="shared" si="25"/>
        <v>0</v>
      </c>
      <c r="Q23" s="38" t="e">
        <f t="shared" si="3"/>
        <v>#VALUE!</v>
      </c>
      <c r="R23" s="38"/>
      <c r="S23" s="38"/>
      <c r="T23" s="38" t="e">
        <f t="shared" si="26"/>
        <v>#N/A</v>
      </c>
      <c r="U23" s="38" t="e">
        <f t="shared" si="4"/>
        <v>#N/A</v>
      </c>
      <c r="V23" s="38"/>
      <c r="W23" s="38" t="e">
        <f t="shared" si="45"/>
        <v>#N/A</v>
      </c>
      <c r="X23" s="38"/>
      <c r="AA23" s="65"/>
      <c r="AB23" s="33"/>
      <c r="AC23" s="41">
        <f t="shared" si="27"/>
        <v>0</v>
      </c>
      <c r="AD23" s="6" t="e">
        <f t="shared" si="28"/>
        <v>#N/A</v>
      </c>
      <c r="AE23" s="6" t="e">
        <f t="shared" si="29"/>
        <v>#N/A</v>
      </c>
      <c r="AF23" s="6" t="e">
        <f t="shared" si="30"/>
        <v>#N/A</v>
      </c>
      <c r="AG23" s="43">
        <f t="shared" si="31"/>
        <v>0</v>
      </c>
      <c r="AH23" s="43" t="e">
        <f t="shared" si="32"/>
        <v>#N/A</v>
      </c>
      <c r="AI23" s="43" t="e">
        <f t="shared" si="33"/>
        <v>#N/A</v>
      </c>
      <c r="AJ23" s="125">
        <f t="shared" si="46"/>
        <v>0</v>
      </c>
      <c r="AL23" s="41">
        <f t="shared" si="6"/>
        <v>0</v>
      </c>
      <c r="AM23" s="41">
        <f t="shared" si="47"/>
        <v>0</v>
      </c>
      <c r="AN23" s="41">
        <f t="shared" si="48"/>
        <v>0</v>
      </c>
      <c r="AO23" s="41">
        <f t="shared" si="49"/>
        <v>0</v>
      </c>
      <c r="AP23" s="153">
        <f t="shared" si="34"/>
        <v>0</v>
      </c>
      <c r="AQ23" s="41">
        <f t="shared" si="50"/>
        <v>0</v>
      </c>
      <c r="AR23" s="41">
        <f t="shared" si="51"/>
        <v>0</v>
      </c>
      <c r="AS23" s="41">
        <f t="shared" si="52"/>
        <v>0</v>
      </c>
      <c r="AT23" s="45">
        <f t="shared" si="35"/>
        <v>0</v>
      </c>
      <c r="AU23" s="68" t="e">
        <f t="shared" si="36"/>
        <v>#VALUE!</v>
      </c>
      <c r="AV23" s="41" t="e">
        <f t="shared" si="7"/>
        <v>#VALUE!</v>
      </c>
      <c r="AW23" s="41" t="e">
        <f t="shared" si="8"/>
        <v>#VALUE!</v>
      </c>
      <c r="AX23" s="41" t="e">
        <f t="shared" si="9"/>
        <v>#VALUE!</v>
      </c>
      <c r="AY23" s="41" t="e">
        <f t="shared" si="37"/>
        <v>#VALUE!</v>
      </c>
      <c r="AZ23" s="11">
        <f t="shared" si="53"/>
        <v>0</v>
      </c>
      <c r="BA23" s="25">
        <f t="shared" si="38"/>
        <v>0</v>
      </c>
      <c r="BB23" s="25">
        <f t="shared" si="10"/>
        <v>0</v>
      </c>
      <c r="BC23" s="25">
        <f t="shared" si="11"/>
        <v>0</v>
      </c>
      <c r="BD23" s="25">
        <f t="shared" si="12"/>
        <v>0</v>
      </c>
      <c r="BE23" s="25">
        <f t="shared" si="13"/>
        <v>0</v>
      </c>
      <c r="BF23" s="25">
        <f t="shared" si="14"/>
        <v>0</v>
      </c>
      <c r="BG23" s="25">
        <f t="shared" si="15"/>
        <v>0</v>
      </c>
      <c r="BH23" s="25">
        <f t="shared" si="16"/>
        <v>0</v>
      </c>
      <c r="BI23" s="25">
        <f t="shared" si="17"/>
        <v>0</v>
      </c>
      <c r="BJ23" s="25">
        <f t="shared" si="18"/>
        <v>0</v>
      </c>
      <c r="BK23" s="25">
        <f t="shared" si="39"/>
        <v>0</v>
      </c>
      <c r="BM23" s="25" t="e">
        <f t="shared" si="40"/>
        <v>#VALUE!</v>
      </c>
      <c r="BN23" s="25" t="e">
        <f t="shared" si="41"/>
        <v>#VALUE!</v>
      </c>
      <c r="BO23" s="25" t="e">
        <f t="shared" si="54"/>
        <v>#N/A</v>
      </c>
      <c r="BP23" s="25" t="e">
        <f t="shared" si="19"/>
        <v>#N/A</v>
      </c>
      <c r="BQ23" s="46" t="e">
        <f t="shared" si="20"/>
        <v>#VALUE!</v>
      </c>
      <c r="BS23" s="122">
        <f>BS20+1</f>
        <v>3</v>
      </c>
      <c r="BT23" s="122">
        <f>BT20+1</f>
        <v>2</v>
      </c>
      <c r="BU23" s="154" t="str">
        <f t="shared" si="42"/>
        <v>x</v>
      </c>
      <c r="BV23" s="155" t="str">
        <f t="shared" ref="BV23" si="58">INDEX(N$17:N$42,BS23)</f>
        <v/>
      </c>
    </row>
    <row r="24" spans="1:74" ht="36" customHeight="1" x14ac:dyDescent="0.45">
      <c r="A24" s="180">
        <v>8</v>
      </c>
      <c r="B24" s="181"/>
      <c r="C24" s="182"/>
      <c r="D24" s="182"/>
      <c r="E24" s="182"/>
      <c r="F24" s="182"/>
      <c r="H24" s="31" t="str">
        <f t="shared" si="2"/>
        <v/>
      </c>
      <c r="I24" s="31" t="str">
        <f t="shared" si="55"/>
        <v/>
      </c>
      <c r="J24" s="32" t="str">
        <f t="shared" si="21"/>
        <v/>
      </c>
      <c r="K24" s="31" t="str">
        <f t="shared" si="44"/>
        <v/>
      </c>
      <c r="L24" s="151" t="str">
        <f t="shared" si="22"/>
        <v/>
      </c>
      <c r="M24" s="40">
        <f t="shared" si="23"/>
        <v>0</v>
      </c>
      <c r="N24" s="2" t="str">
        <f t="shared" si="24"/>
        <v/>
      </c>
      <c r="O24" s="38"/>
      <c r="P24" s="38">
        <f t="shared" si="25"/>
        <v>0</v>
      </c>
      <c r="Q24" s="38" t="e">
        <f t="shared" si="3"/>
        <v>#VALUE!</v>
      </c>
      <c r="R24" s="38"/>
      <c r="S24" s="38"/>
      <c r="T24" s="38" t="e">
        <f t="shared" si="26"/>
        <v>#N/A</v>
      </c>
      <c r="U24" s="38" t="e">
        <f t="shared" si="4"/>
        <v>#N/A</v>
      </c>
      <c r="V24" s="38"/>
      <c r="W24" s="38" t="e">
        <f t="shared" si="45"/>
        <v>#N/A</v>
      </c>
      <c r="X24" s="38"/>
      <c r="AA24" s="65"/>
      <c r="AB24" s="33"/>
      <c r="AC24" s="41">
        <f t="shared" si="27"/>
        <v>0</v>
      </c>
      <c r="AD24" s="6" t="e">
        <f t="shared" si="28"/>
        <v>#N/A</v>
      </c>
      <c r="AE24" s="6" t="e">
        <f t="shared" si="29"/>
        <v>#N/A</v>
      </c>
      <c r="AF24" s="6" t="e">
        <f t="shared" si="30"/>
        <v>#N/A</v>
      </c>
      <c r="AG24" s="43">
        <f t="shared" si="31"/>
        <v>0</v>
      </c>
      <c r="AH24" s="43" t="e">
        <f t="shared" si="32"/>
        <v>#N/A</v>
      </c>
      <c r="AI24" s="43" t="e">
        <f t="shared" si="33"/>
        <v>#N/A</v>
      </c>
      <c r="AJ24" s="125">
        <f t="shared" si="46"/>
        <v>0</v>
      </c>
      <c r="AL24" s="41">
        <f t="shared" si="6"/>
        <v>0</v>
      </c>
      <c r="AM24" s="41">
        <f t="shared" si="47"/>
        <v>0</v>
      </c>
      <c r="AN24" s="41">
        <f t="shared" si="48"/>
        <v>0</v>
      </c>
      <c r="AO24" s="41">
        <f t="shared" si="49"/>
        <v>0</v>
      </c>
      <c r="AP24" s="153">
        <f t="shared" si="34"/>
        <v>0</v>
      </c>
      <c r="AQ24" s="41">
        <f t="shared" si="50"/>
        <v>0</v>
      </c>
      <c r="AR24" s="41">
        <f t="shared" si="51"/>
        <v>0</v>
      </c>
      <c r="AS24" s="41">
        <f t="shared" si="52"/>
        <v>0</v>
      </c>
      <c r="AT24" s="45">
        <f t="shared" si="35"/>
        <v>0</v>
      </c>
      <c r="AU24" s="68" t="e">
        <f t="shared" si="36"/>
        <v>#VALUE!</v>
      </c>
      <c r="AV24" s="41" t="e">
        <f t="shared" si="7"/>
        <v>#VALUE!</v>
      </c>
      <c r="AW24" s="41" t="e">
        <f t="shared" si="8"/>
        <v>#VALUE!</v>
      </c>
      <c r="AX24" s="41" t="e">
        <f t="shared" si="9"/>
        <v>#VALUE!</v>
      </c>
      <c r="AY24" s="41" t="e">
        <f t="shared" si="37"/>
        <v>#VALUE!</v>
      </c>
      <c r="AZ24" s="11">
        <f t="shared" si="53"/>
        <v>0</v>
      </c>
      <c r="BA24" s="25">
        <f t="shared" si="38"/>
        <v>0</v>
      </c>
      <c r="BB24" s="25">
        <f t="shared" si="10"/>
        <v>0</v>
      </c>
      <c r="BC24" s="25">
        <f t="shared" si="11"/>
        <v>0</v>
      </c>
      <c r="BD24" s="25">
        <f t="shared" si="12"/>
        <v>0</v>
      </c>
      <c r="BE24" s="25">
        <f t="shared" si="13"/>
        <v>0</v>
      </c>
      <c r="BF24" s="25">
        <f t="shared" si="14"/>
        <v>0</v>
      </c>
      <c r="BG24" s="25">
        <f t="shared" si="15"/>
        <v>0</v>
      </c>
      <c r="BH24" s="25">
        <f t="shared" si="16"/>
        <v>0</v>
      </c>
      <c r="BI24" s="25">
        <f t="shared" si="17"/>
        <v>0</v>
      </c>
      <c r="BJ24" s="25">
        <f t="shared" si="18"/>
        <v>0</v>
      </c>
      <c r="BK24" s="25">
        <f t="shared" si="39"/>
        <v>0</v>
      </c>
      <c r="BM24" s="25" t="e">
        <f t="shared" si="40"/>
        <v>#VALUE!</v>
      </c>
      <c r="BN24" s="25" t="e">
        <f t="shared" si="41"/>
        <v>#VALUE!</v>
      </c>
      <c r="BO24" s="25" t="e">
        <f t="shared" si="54"/>
        <v>#N/A</v>
      </c>
      <c r="BP24" s="25" t="e">
        <f t="shared" si="19"/>
        <v>#N/A</v>
      </c>
      <c r="BQ24" s="46" t="e">
        <f t="shared" si="20"/>
        <v>#VALUE!</v>
      </c>
      <c r="BS24" s="122">
        <f>BS21+1</f>
        <v>3</v>
      </c>
      <c r="BT24" s="122">
        <f>BT21+1</f>
        <v>4</v>
      </c>
      <c r="BU24" s="154" t="str">
        <f t="shared" si="42"/>
        <v>x</v>
      </c>
      <c r="BV24" s="155" t="str">
        <f t="shared" si="43"/>
        <v/>
      </c>
    </row>
    <row r="25" spans="1:74" ht="36" customHeight="1" x14ac:dyDescent="0.45">
      <c r="A25" s="178">
        <v>9</v>
      </c>
      <c r="B25" s="179"/>
      <c r="C25" s="179"/>
      <c r="D25" s="179"/>
      <c r="E25" s="179"/>
      <c r="F25" s="179"/>
      <c r="H25" s="31" t="str">
        <f t="shared" si="2"/>
        <v/>
      </c>
      <c r="I25" s="31" t="str">
        <f t="shared" si="55"/>
        <v/>
      </c>
      <c r="J25" s="32" t="str">
        <f t="shared" si="21"/>
        <v/>
      </c>
      <c r="K25" s="31" t="str">
        <f t="shared" si="44"/>
        <v/>
      </c>
      <c r="L25" s="151" t="str">
        <f t="shared" si="22"/>
        <v/>
      </c>
      <c r="M25" s="40">
        <f t="shared" si="23"/>
        <v>0</v>
      </c>
      <c r="N25" s="2" t="str">
        <f t="shared" si="24"/>
        <v/>
      </c>
      <c r="O25" s="38"/>
      <c r="P25" s="38">
        <f t="shared" si="25"/>
        <v>0</v>
      </c>
      <c r="Q25" s="38" t="e">
        <f t="shared" si="3"/>
        <v>#VALUE!</v>
      </c>
      <c r="R25" s="38"/>
      <c r="S25" s="38"/>
      <c r="T25" s="38" t="e">
        <f t="shared" si="26"/>
        <v>#N/A</v>
      </c>
      <c r="U25" s="38" t="e">
        <f t="shared" si="4"/>
        <v>#N/A</v>
      </c>
      <c r="V25" s="38"/>
      <c r="W25" s="38" t="e">
        <f t="shared" si="45"/>
        <v>#N/A</v>
      </c>
      <c r="X25" s="38"/>
      <c r="AA25" s="65"/>
      <c r="AB25" s="33"/>
      <c r="AC25" s="41">
        <f t="shared" si="27"/>
        <v>0</v>
      </c>
      <c r="AD25" s="6" t="e">
        <f t="shared" si="28"/>
        <v>#N/A</v>
      </c>
      <c r="AE25" s="6" t="e">
        <f t="shared" si="29"/>
        <v>#N/A</v>
      </c>
      <c r="AF25" s="6" t="e">
        <f t="shared" si="30"/>
        <v>#N/A</v>
      </c>
      <c r="AG25" s="43">
        <f t="shared" si="31"/>
        <v>0</v>
      </c>
      <c r="AH25" s="43" t="e">
        <f t="shared" si="32"/>
        <v>#N/A</v>
      </c>
      <c r="AI25" s="43" t="e">
        <f t="shared" si="33"/>
        <v>#N/A</v>
      </c>
      <c r="AJ25" s="125">
        <f t="shared" si="46"/>
        <v>0</v>
      </c>
      <c r="AL25" s="41">
        <f t="shared" si="6"/>
        <v>0</v>
      </c>
      <c r="AM25" s="41">
        <f>ABS(AL25-AL24)</f>
        <v>0</v>
      </c>
      <c r="AN25" s="41">
        <f t="shared" si="48"/>
        <v>0</v>
      </c>
      <c r="AO25" s="41">
        <f t="shared" si="49"/>
        <v>0</v>
      </c>
      <c r="AP25" s="153">
        <f t="shared" si="34"/>
        <v>0</v>
      </c>
      <c r="AQ25" s="41">
        <f t="shared" si="50"/>
        <v>0</v>
      </c>
      <c r="AR25" s="41">
        <f t="shared" si="51"/>
        <v>0</v>
      </c>
      <c r="AS25" s="41">
        <f t="shared" si="52"/>
        <v>0</v>
      </c>
      <c r="AT25" s="45">
        <f t="shared" si="35"/>
        <v>0</v>
      </c>
      <c r="AU25" s="68" t="e">
        <f t="shared" si="36"/>
        <v>#VALUE!</v>
      </c>
      <c r="AV25" s="41" t="e">
        <f t="shared" si="7"/>
        <v>#VALUE!</v>
      </c>
      <c r="AW25" s="41" t="e">
        <f t="shared" si="8"/>
        <v>#VALUE!</v>
      </c>
      <c r="AX25" s="41" t="e">
        <f t="shared" si="9"/>
        <v>#VALUE!</v>
      </c>
      <c r="AY25" s="41" t="e">
        <f t="shared" si="37"/>
        <v>#VALUE!</v>
      </c>
      <c r="AZ25" s="11">
        <f t="shared" si="53"/>
        <v>0</v>
      </c>
      <c r="BA25" s="25">
        <f t="shared" si="38"/>
        <v>0</v>
      </c>
      <c r="BB25" s="25">
        <f t="shared" si="10"/>
        <v>0</v>
      </c>
      <c r="BC25" s="25">
        <f t="shared" si="11"/>
        <v>0</v>
      </c>
      <c r="BD25" s="25">
        <f t="shared" si="12"/>
        <v>0</v>
      </c>
      <c r="BE25" s="25">
        <f t="shared" si="13"/>
        <v>0</v>
      </c>
      <c r="BF25" s="25">
        <f t="shared" si="14"/>
        <v>0</v>
      </c>
      <c r="BG25" s="25">
        <f t="shared" si="15"/>
        <v>0</v>
      </c>
      <c r="BH25" s="25">
        <f t="shared" si="16"/>
        <v>0</v>
      </c>
      <c r="BI25" s="25">
        <f t="shared" si="17"/>
        <v>0</v>
      </c>
      <c r="BJ25" s="25">
        <f t="shared" si="18"/>
        <v>0</v>
      </c>
      <c r="BK25" s="25">
        <f t="shared" si="39"/>
        <v>0</v>
      </c>
      <c r="BM25" s="25" t="e">
        <f t="shared" si="40"/>
        <v>#VALUE!</v>
      </c>
      <c r="BN25" s="25" t="e">
        <f t="shared" si="41"/>
        <v>#VALUE!</v>
      </c>
      <c r="BO25" s="25" t="e">
        <f t="shared" si="54"/>
        <v>#N/A</v>
      </c>
      <c r="BP25" s="25" t="e">
        <f t="shared" si="19"/>
        <v>#N/A</v>
      </c>
      <c r="BQ25" s="46" t="e">
        <f t="shared" si="20"/>
        <v>#VALUE!</v>
      </c>
      <c r="BS25" s="122">
        <f t="shared" ref="BS25:BT40" si="59">BS22+1</f>
        <v>3</v>
      </c>
      <c r="BT25" s="122">
        <f t="shared" si="59"/>
        <v>4</v>
      </c>
      <c r="BU25" s="154" t="str">
        <f t="shared" si="42"/>
        <v>x</v>
      </c>
      <c r="BV25" s="155" t="str">
        <f t="shared" ref="BV25" si="60">IF(ISBLANK(INDEX(B$17:B$42,BS25)),BV24,$BV$15)</f>
        <v/>
      </c>
    </row>
    <row r="26" spans="1:74" ht="36" customHeight="1" x14ac:dyDescent="0.45">
      <c r="A26" s="180">
        <v>10</v>
      </c>
      <c r="B26" s="181"/>
      <c r="C26" s="182"/>
      <c r="D26" s="182"/>
      <c r="E26" s="182"/>
      <c r="F26" s="182"/>
      <c r="H26" s="31" t="str">
        <f t="shared" si="2"/>
        <v/>
      </c>
      <c r="I26" s="31" t="str">
        <f>IF(ISBLANK(B27),IF(ISBLANK(B26),"",(2*E26-1)*I25),MAX(0,$H$5*H26+$I$5))</f>
        <v/>
      </c>
      <c r="J26" s="32" t="str">
        <f t="shared" si="21"/>
        <v/>
      </c>
      <c r="K26" s="31" t="str">
        <f t="shared" si="44"/>
        <v/>
      </c>
      <c r="L26" s="151" t="str">
        <f t="shared" si="22"/>
        <v/>
      </c>
      <c r="M26" s="40">
        <f t="shared" si="23"/>
        <v>0</v>
      </c>
      <c r="N26" s="2" t="str">
        <f t="shared" si="24"/>
        <v/>
      </c>
      <c r="O26" s="38"/>
      <c r="P26" s="38">
        <f t="shared" si="25"/>
        <v>0</v>
      </c>
      <c r="Q26" s="38" t="e">
        <f t="shared" si="3"/>
        <v>#VALUE!</v>
      </c>
      <c r="R26" s="38"/>
      <c r="S26" s="38"/>
      <c r="T26" s="38" t="e">
        <f t="shared" si="26"/>
        <v>#N/A</v>
      </c>
      <c r="U26" s="38" t="e">
        <f t="shared" si="4"/>
        <v>#N/A</v>
      </c>
      <c r="V26" s="38"/>
      <c r="W26" s="38" t="e">
        <f t="shared" si="45"/>
        <v>#N/A</v>
      </c>
      <c r="X26" s="38"/>
      <c r="AA26" s="65"/>
      <c r="AB26" s="33"/>
      <c r="AC26" s="41">
        <f t="shared" si="27"/>
        <v>0</v>
      </c>
      <c r="AD26" s="6" t="e">
        <f t="shared" si="28"/>
        <v>#N/A</v>
      </c>
      <c r="AE26" s="6" t="e">
        <f t="shared" si="29"/>
        <v>#N/A</v>
      </c>
      <c r="AF26" s="6" t="e">
        <f t="shared" si="30"/>
        <v>#N/A</v>
      </c>
      <c r="AG26" s="43">
        <f t="shared" si="31"/>
        <v>0</v>
      </c>
      <c r="AH26" s="43" t="e">
        <f t="shared" si="32"/>
        <v>#N/A</v>
      </c>
      <c r="AI26" s="43" t="e">
        <f t="shared" si="33"/>
        <v>#N/A</v>
      </c>
      <c r="AJ26" s="125">
        <f t="shared" si="46"/>
        <v>0</v>
      </c>
      <c r="AL26" s="41">
        <f t="shared" si="6"/>
        <v>0</v>
      </c>
      <c r="AM26" s="41">
        <f t="shared" si="47"/>
        <v>0</v>
      </c>
      <c r="AN26" s="41">
        <f t="shared" si="48"/>
        <v>0</v>
      </c>
      <c r="AO26" s="41">
        <f t="shared" si="49"/>
        <v>0</v>
      </c>
      <c r="AP26" s="153">
        <f t="shared" si="34"/>
        <v>0</v>
      </c>
      <c r="AQ26" s="41">
        <f t="shared" si="50"/>
        <v>0</v>
      </c>
      <c r="AR26" s="41">
        <f t="shared" si="51"/>
        <v>0</v>
      </c>
      <c r="AS26" s="41">
        <f t="shared" si="52"/>
        <v>0</v>
      </c>
      <c r="AT26" s="45">
        <f t="shared" si="35"/>
        <v>0</v>
      </c>
      <c r="AU26" s="68" t="e">
        <f t="shared" si="36"/>
        <v>#VALUE!</v>
      </c>
      <c r="AV26" s="41" t="e">
        <f t="shared" si="7"/>
        <v>#VALUE!</v>
      </c>
      <c r="AW26" s="41" t="e">
        <f t="shared" si="8"/>
        <v>#VALUE!</v>
      </c>
      <c r="AX26" s="41" t="e">
        <f t="shared" si="9"/>
        <v>#VALUE!</v>
      </c>
      <c r="AY26" s="41" t="e">
        <f t="shared" si="37"/>
        <v>#VALUE!</v>
      </c>
      <c r="AZ26" s="11">
        <f t="shared" si="53"/>
        <v>0</v>
      </c>
      <c r="BA26" s="25">
        <f t="shared" si="38"/>
        <v>0</v>
      </c>
      <c r="BB26" s="25">
        <f t="shared" si="10"/>
        <v>0</v>
      </c>
      <c r="BC26" s="25">
        <f t="shared" si="11"/>
        <v>0</v>
      </c>
      <c r="BD26" s="25">
        <f t="shared" si="12"/>
        <v>0</v>
      </c>
      <c r="BE26" s="25">
        <f t="shared" si="13"/>
        <v>0</v>
      </c>
      <c r="BF26" s="25">
        <f t="shared" si="14"/>
        <v>0</v>
      </c>
      <c r="BG26" s="25">
        <f t="shared" si="15"/>
        <v>0</v>
      </c>
      <c r="BH26" s="25">
        <f t="shared" si="16"/>
        <v>0</v>
      </c>
      <c r="BI26" s="25">
        <f t="shared" si="17"/>
        <v>0</v>
      </c>
      <c r="BJ26" s="25">
        <f t="shared" si="18"/>
        <v>0</v>
      </c>
      <c r="BK26" s="25">
        <f t="shared" si="39"/>
        <v>0</v>
      </c>
      <c r="BM26" s="25" t="e">
        <f t="shared" si="40"/>
        <v>#VALUE!</v>
      </c>
      <c r="BN26" s="25" t="e">
        <f t="shared" si="41"/>
        <v>#VALUE!</v>
      </c>
      <c r="BO26" s="25" t="e">
        <f t="shared" si="54"/>
        <v>#N/A</v>
      </c>
      <c r="BP26" s="25" t="e">
        <f t="shared" si="19"/>
        <v>#N/A</v>
      </c>
      <c r="BQ26" s="46" t="e">
        <f t="shared" si="20"/>
        <v>#VALUE!</v>
      </c>
      <c r="BS26" s="122">
        <f t="shared" si="59"/>
        <v>4</v>
      </c>
      <c r="BT26" s="122">
        <f t="shared" si="59"/>
        <v>3</v>
      </c>
      <c r="BU26" s="154" t="str">
        <f t="shared" si="42"/>
        <v>x</v>
      </c>
      <c r="BV26" s="155" t="str">
        <f t="shared" ref="BV26" si="61">INDEX(N$17:N$42,BS26)</f>
        <v/>
      </c>
    </row>
    <row r="27" spans="1:74" ht="36" customHeight="1" x14ac:dyDescent="0.45">
      <c r="A27" s="178">
        <v>11</v>
      </c>
      <c r="B27" s="179"/>
      <c r="C27" s="179"/>
      <c r="D27" s="179"/>
      <c r="E27" s="179"/>
      <c r="F27" s="179"/>
      <c r="H27" s="31" t="str">
        <f t="shared" si="2"/>
        <v/>
      </c>
      <c r="I27" s="31" t="str">
        <f t="shared" si="55"/>
        <v/>
      </c>
      <c r="J27" s="32" t="str">
        <f t="shared" si="21"/>
        <v/>
      </c>
      <c r="K27" s="31" t="str">
        <f t="shared" si="44"/>
        <v/>
      </c>
      <c r="L27" s="151" t="str">
        <f t="shared" si="22"/>
        <v/>
      </c>
      <c r="M27" s="40">
        <f t="shared" si="23"/>
        <v>0</v>
      </c>
      <c r="N27" s="2" t="str">
        <f t="shared" si="24"/>
        <v/>
      </c>
      <c r="O27" s="38"/>
      <c r="P27" s="38">
        <f t="shared" si="25"/>
        <v>0</v>
      </c>
      <c r="Q27" s="38" t="e">
        <f t="shared" si="3"/>
        <v>#VALUE!</v>
      </c>
      <c r="R27" s="38"/>
      <c r="S27" s="38"/>
      <c r="T27" s="38" t="e">
        <f t="shared" si="26"/>
        <v>#N/A</v>
      </c>
      <c r="U27" s="38" t="e">
        <f t="shared" si="4"/>
        <v>#N/A</v>
      </c>
      <c r="V27" s="38"/>
      <c r="W27" s="38" t="e">
        <f t="shared" si="45"/>
        <v>#N/A</v>
      </c>
      <c r="X27" s="38"/>
      <c r="Y27" s="58"/>
      <c r="Z27" s="38"/>
      <c r="AA27" s="65"/>
      <c r="AB27" s="33"/>
      <c r="AC27" s="41">
        <f t="shared" si="27"/>
        <v>0</v>
      </c>
      <c r="AD27" s="6" t="e">
        <f t="shared" si="28"/>
        <v>#N/A</v>
      </c>
      <c r="AE27" s="6" t="e">
        <f t="shared" si="29"/>
        <v>#N/A</v>
      </c>
      <c r="AF27" s="6" t="e">
        <f t="shared" si="30"/>
        <v>#N/A</v>
      </c>
      <c r="AG27" s="43">
        <f t="shared" si="31"/>
        <v>0</v>
      </c>
      <c r="AH27" s="43" t="e">
        <f t="shared" si="32"/>
        <v>#N/A</v>
      </c>
      <c r="AI27" s="43" t="e">
        <f t="shared" si="33"/>
        <v>#N/A</v>
      </c>
      <c r="AJ27" s="125">
        <f t="shared" si="46"/>
        <v>0</v>
      </c>
      <c r="AL27" s="41">
        <f t="shared" si="6"/>
        <v>0</v>
      </c>
      <c r="AM27" s="41">
        <f t="shared" si="47"/>
        <v>0</v>
      </c>
      <c r="AN27" s="41">
        <f t="shared" si="48"/>
        <v>0</v>
      </c>
      <c r="AO27" s="41">
        <f t="shared" si="49"/>
        <v>0</v>
      </c>
      <c r="AP27" s="153">
        <f t="shared" si="34"/>
        <v>0</v>
      </c>
      <c r="AQ27" s="41">
        <f t="shared" si="50"/>
        <v>0</v>
      </c>
      <c r="AR27" s="41">
        <f t="shared" si="51"/>
        <v>0</v>
      </c>
      <c r="AS27" s="41">
        <f t="shared" si="52"/>
        <v>0</v>
      </c>
      <c r="AT27" s="45">
        <f t="shared" si="35"/>
        <v>0</v>
      </c>
      <c r="AU27" s="68" t="e">
        <f t="shared" si="36"/>
        <v>#VALUE!</v>
      </c>
      <c r="AV27" s="41" t="e">
        <f t="shared" si="7"/>
        <v>#VALUE!</v>
      </c>
      <c r="AW27" s="41" t="e">
        <f t="shared" si="8"/>
        <v>#VALUE!</v>
      </c>
      <c r="AX27" s="41" t="e">
        <f t="shared" si="9"/>
        <v>#VALUE!</v>
      </c>
      <c r="AY27" s="41" t="e">
        <f t="shared" si="37"/>
        <v>#VALUE!</v>
      </c>
      <c r="AZ27" s="11">
        <f t="shared" si="53"/>
        <v>0</v>
      </c>
      <c r="BA27" s="25">
        <f t="shared" si="38"/>
        <v>0</v>
      </c>
      <c r="BB27" s="25">
        <f t="shared" si="10"/>
        <v>0</v>
      </c>
      <c r="BC27" s="25">
        <f t="shared" si="11"/>
        <v>0</v>
      </c>
      <c r="BD27" s="25">
        <f t="shared" si="12"/>
        <v>0</v>
      </c>
      <c r="BE27" s="25">
        <f t="shared" si="13"/>
        <v>0</v>
      </c>
      <c r="BF27" s="25">
        <f t="shared" si="14"/>
        <v>0</v>
      </c>
      <c r="BG27" s="25">
        <f t="shared" si="15"/>
        <v>0</v>
      </c>
      <c r="BH27" s="25">
        <f t="shared" si="16"/>
        <v>0</v>
      </c>
      <c r="BI27" s="25">
        <f t="shared" si="17"/>
        <v>0</v>
      </c>
      <c r="BJ27" s="25">
        <f t="shared" si="18"/>
        <v>0</v>
      </c>
      <c r="BK27" s="25">
        <f t="shared" si="39"/>
        <v>0</v>
      </c>
      <c r="BM27" s="25" t="e">
        <f t="shared" si="40"/>
        <v>#VALUE!</v>
      </c>
      <c r="BN27" s="25" t="e">
        <f t="shared" si="41"/>
        <v>#VALUE!</v>
      </c>
      <c r="BO27" s="25" t="e">
        <f t="shared" si="54"/>
        <v>#N/A</v>
      </c>
      <c r="BP27" s="25" t="e">
        <f t="shared" si="19"/>
        <v>#N/A</v>
      </c>
      <c r="BQ27" s="46" t="e">
        <f t="shared" si="20"/>
        <v>#VALUE!</v>
      </c>
      <c r="BS27" s="122">
        <f t="shared" si="59"/>
        <v>4</v>
      </c>
      <c r="BT27" s="122">
        <f t="shared" si="59"/>
        <v>5</v>
      </c>
      <c r="BU27" s="154" t="str">
        <f t="shared" si="42"/>
        <v>x</v>
      </c>
      <c r="BV27" s="155" t="str">
        <f t="shared" si="43"/>
        <v/>
      </c>
    </row>
    <row r="28" spans="1:74" ht="36" customHeight="1" x14ac:dyDescent="0.45">
      <c r="A28" s="180">
        <v>12</v>
      </c>
      <c r="B28" s="181"/>
      <c r="C28" s="181"/>
      <c r="D28" s="181"/>
      <c r="E28" s="181"/>
      <c r="F28" s="181"/>
      <c r="H28" s="31" t="str">
        <f t="shared" si="2"/>
        <v/>
      </c>
      <c r="I28" s="31" t="str">
        <f t="shared" si="55"/>
        <v/>
      </c>
      <c r="J28" s="32" t="str">
        <f t="shared" si="21"/>
        <v/>
      </c>
      <c r="K28" s="31" t="str">
        <f t="shared" si="44"/>
        <v/>
      </c>
      <c r="L28" s="151" t="str">
        <f t="shared" si="22"/>
        <v/>
      </c>
      <c r="M28" s="40">
        <f t="shared" si="23"/>
        <v>0</v>
      </c>
      <c r="N28" s="2" t="str">
        <f t="shared" si="24"/>
        <v/>
      </c>
      <c r="O28" s="38"/>
      <c r="P28" s="38">
        <f t="shared" si="25"/>
        <v>0</v>
      </c>
      <c r="Q28" s="38" t="e">
        <f t="shared" si="3"/>
        <v>#VALUE!</v>
      </c>
      <c r="R28" s="38"/>
      <c r="S28" s="38"/>
      <c r="T28" s="38" t="e">
        <f t="shared" si="26"/>
        <v>#N/A</v>
      </c>
      <c r="U28" s="38" t="e">
        <f t="shared" si="4"/>
        <v>#N/A</v>
      </c>
      <c r="V28" s="38"/>
      <c r="W28" s="38" t="e">
        <f t="shared" si="45"/>
        <v>#N/A</v>
      </c>
      <c r="X28" s="38"/>
      <c r="Y28" s="58"/>
      <c r="Z28" s="38"/>
      <c r="AA28" s="65"/>
      <c r="AB28" s="33"/>
      <c r="AC28" s="41">
        <f t="shared" si="27"/>
        <v>0</v>
      </c>
      <c r="AD28" s="6" t="e">
        <f t="shared" si="28"/>
        <v>#N/A</v>
      </c>
      <c r="AE28" s="6" t="e">
        <f t="shared" si="29"/>
        <v>#N/A</v>
      </c>
      <c r="AF28" s="6" t="e">
        <f t="shared" si="30"/>
        <v>#N/A</v>
      </c>
      <c r="AG28" s="43">
        <f t="shared" si="31"/>
        <v>0</v>
      </c>
      <c r="AH28" s="43" t="e">
        <f t="shared" si="32"/>
        <v>#N/A</v>
      </c>
      <c r="AI28" s="43" t="e">
        <f t="shared" si="33"/>
        <v>#N/A</v>
      </c>
      <c r="AJ28" s="125">
        <f t="shared" si="46"/>
        <v>0</v>
      </c>
      <c r="AL28" s="41">
        <f t="shared" si="6"/>
        <v>0</v>
      </c>
      <c r="AM28" s="41">
        <f t="shared" si="47"/>
        <v>0</v>
      </c>
      <c r="AN28" s="41">
        <f t="shared" si="48"/>
        <v>0</v>
      </c>
      <c r="AO28" s="41">
        <f t="shared" si="49"/>
        <v>0</v>
      </c>
      <c r="AP28" s="153">
        <f t="shared" si="34"/>
        <v>0</v>
      </c>
      <c r="AQ28" s="41">
        <f t="shared" si="50"/>
        <v>0</v>
      </c>
      <c r="AR28" s="41">
        <f t="shared" si="51"/>
        <v>0</v>
      </c>
      <c r="AS28" s="41">
        <f t="shared" si="52"/>
        <v>0</v>
      </c>
      <c r="AT28" s="45">
        <f t="shared" si="35"/>
        <v>0</v>
      </c>
      <c r="AU28" s="68" t="e">
        <f t="shared" si="36"/>
        <v>#VALUE!</v>
      </c>
      <c r="AV28" s="41" t="e">
        <f t="shared" si="7"/>
        <v>#VALUE!</v>
      </c>
      <c r="AW28" s="41" t="e">
        <f t="shared" si="8"/>
        <v>#VALUE!</v>
      </c>
      <c r="AX28" s="41" t="e">
        <f t="shared" si="9"/>
        <v>#VALUE!</v>
      </c>
      <c r="AY28" s="41" t="e">
        <f t="shared" si="37"/>
        <v>#VALUE!</v>
      </c>
      <c r="AZ28" s="11">
        <f t="shared" si="53"/>
        <v>0</v>
      </c>
      <c r="BA28" s="25">
        <f t="shared" si="38"/>
        <v>0</v>
      </c>
      <c r="BB28" s="25">
        <f t="shared" si="10"/>
        <v>0</v>
      </c>
      <c r="BC28" s="25">
        <f t="shared" si="11"/>
        <v>0</v>
      </c>
      <c r="BD28" s="25">
        <f t="shared" si="12"/>
        <v>0</v>
      </c>
      <c r="BE28" s="25">
        <f t="shared" si="13"/>
        <v>0</v>
      </c>
      <c r="BF28" s="25">
        <f t="shared" si="14"/>
        <v>0</v>
      </c>
      <c r="BG28" s="25">
        <f t="shared" si="15"/>
        <v>0</v>
      </c>
      <c r="BH28" s="25">
        <f t="shared" si="16"/>
        <v>0</v>
      </c>
      <c r="BI28" s="25">
        <f t="shared" si="17"/>
        <v>0</v>
      </c>
      <c r="BJ28" s="25">
        <f t="shared" si="18"/>
        <v>0</v>
      </c>
      <c r="BK28" s="25">
        <f t="shared" si="39"/>
        <v>0</v>
      </c>
      <c r="BM28" s="25" t="e">
        <f t="shared" si="40"/>
        <v>#VALUE!</v>
      </c>
      <c r="BN28" s="25" t="e">
        <f t="shared" si="41"/>
        <v>#VALUE!</v>
      </c>
      <c r="BO28" s="25" t="e">
        <f t="shared" si="54"/>
        <v>#N/A</v>
      </c>
      <c r="BP28" s="25" t="e">
        <f t="shared" si="19"/>
        <v>#N/A</v>
      </c>
      <c r="BQ28" s="46" t="e">
        <f t="shared" si="20"/>
        <v>#VALUE!</v>
      </c>
      <c r="BS28" s="122">
        <f t="shared" si="59"/>
        <v>4</v>
      </c>
      <c r="BT28" s="122">
        <f t="shared" si="59"/>
        <v>5</v>
      </c>
      <c r="BU28" s="154" t="str">
        <f t="shared" si="42"/>
        <v>x</v>
      </c>
      <c r="BV28" s="155" t="str">
        <f t="shared" ref="BV28" si="62">IF(ISBLANK(INDEX(B$17:B$42,BS28)),BV27,$BV$15)</f>
        <v/>
      </c>
    </row>
    <row r="29" spans="1:74" ht="36" customHeight="1" x14ac:dyDescent="0.45">
      <c r="A29" s="178">
        <v>13</v>
      </c>
      <c r="B29" s="179"/>
      <c r="C29" s="179"/>
      <c r="D29" s="179"/>
      <c r="E29" s="179"/>
      <c r="F29" s="179"/>
      <c r="G29" s="147"/>
      <c r="H29" s="148" t="str">
        <f t="shared" si="2"/>
        <v/>
      </c>
      <c r="I29" s="31" t="str">
        <f t="shared" si="55"/>
        <v/>
      </c>
      <c r="J29" s="32" t="str">
        <f t="shared" si="21"/>
        <v/>
      </c>
      <c r="K29" s="31" t="str">
        <f>IF(ISBLANK(B29),"",IF(ISBLANK(B30),ABS(B28-B29)/2*C29/100,ABS(B30-B28)/2*C29/100))</f>
        <v/>
      </c>
      <c r="L29" s="151" t="str">
        <f t="shared" si="22"/>
        <v/>
      </c>
      <c r="M29" s="40">
        <f t="shared" si="23"/>
        <v>0</v>
      </c>
      <c r="N29" s="2" t="str">
        <f t="shared" si="24"/>
        <v/>
      </c>
      <c r="O29" s="38"/>
      <c r="P29" s="38">
        <f t="shared" si="25"/>
        <v>0</v>
      </c>
      <c r="Q29" s="38" t="e">
        <f t="shared" si="3"/>
        <v>#VALUE!</v>
      </c>
      <c r="R29" s="38"/>
      <c r="S29" s="38"/>
      <c r="T29" s="38" t="e">
        <f t="shared" si="26"/>
        <v>#N/A</v>
      </c>
      <c r="U29" s="38" t="e">
        <f t="shared" si="4"/>
        <v>#N/A</v>
      </c>
      <c r="V29" s="38"/>
      <c r="W29" s="38" t="e">
        <f t="shared" si="45"/>
        <v>#N/A</v>
      </c>
      <c r="X29" s="38"/>
      <c r="Y29" s="58"/>
      <c r="Z29" s="38"/>
      <c r="AA29" s="65"/>
      <c r="AB29" s="33"/>
      <c r="AC29" s="41">
        <f t="shared" si="27"/>
        <v>0</v>
      </c>
      <c r="AD29" s="6" t="e">
        <f t="shared" si="28"/>
        <v>#N/A</v>
      </c>
      <c r="AE29" s="6" t="e">
        <f t="shared" si="29"/>
        <v>#N/A</v>
      </c>
      <c r="AF29" s="6" t="e">
        <f t="shared" si="30"/>
        <v>#N/A</v>
      </c>
      <c r="AG29" s="43">
        <f t="shared" si="31"/>
        <v>0</v>
      </c>
      <c r="AH29" s="43" t="e">
        <f t="shared" si="32"/>
        <v>#N/A</v>
      </c>
      <c r="AI29" s="43" t="e">
        <f t="shared" si="33"/>
        <v>#N/A</v>
      </c>
      <c r="AJ29" s="125">
        <f t="shared" si="46"/>
        <v>0</v>
      </c>
      <c r="AL29" s="41">
        <f t="shared" si="6"/>
        <v>0</v>
      </c>
      <c r="AM29" s="41">
        <f t="shared" si="47"/>
        <v>0</v>
      </c>
      <c r="AN29" s="41">
        <f t="shared" si="48"/>
        <v>0</v>
      </c>
      <c r="AO29" s="41">
        <f t="shared" si="49"/>
        <v>0</v>
      </c>
      <c r="AP29" s="153">
        <f t="shared" si="34"/>
        <v>0</v>
      </c>
      <c r="AQ29" s="41">
        <f t="shared" si="50"/>
        <v>0</v>
      </c>
      <c r="AR29" s="41">
        <f t="shared" si="51"/>
        <v>0</v>
      </c>
      <c r="AS29" s="41">
        <f t="shared" si="52"/>
        <v>0</v>
      </c>
      <c r="AT29" s="45">
        <f t="shared" si="35"/>
        <v>0</v>
      </c>
      <c r="AU29" s="68" t="e">
        <f t="shared" si="36"/>
        <v>#VALUE!</v>
      </c>
      <c r="AV29" s="41" t="e">
        <f t="shared" si="7"/>
        <v>#VALUE!</v>
      </c>
      <c r="AW29" s="41" t="e">
        <f t="shared" si="8"/>
        <v>#VALUE!</v>
      </c>
      <c r="AX29" s="41" t="e">
        <f t="shared" si="9"/>
        <v>#VALUE!</v>
      </c>
      <c r="AY29" s="41" t="e">
        <f t="shared" si="37"/>
        <v>#VALUE!</v>
      </c>
      <c r="AZ29" s="11">
        <f t="shared" si="53"/>
        <v>0</v>
      </c>
      <c r="BA29" s="25">
        <f t="shared" si="38"/>
        <v>0</v>
      </c>
      <c r="BB29" s="25">
        <f t="shared" si="10"/>
        <v>0</v>
      </c>
      <c r="BC29" s="25">
        <f t="shared" si="11"/>
        <v>0</v>
      </c>
      <c r="BD29" s="25">
        <f t="shared" si="12"/>
        <v>0</v>
      </c>
      <c r="BE29" s="25">
        <f t="shared" si="13"/>
        <v>0</v>
      </c>
      <c r="BF29" s="25">
        <f t="shared" si="14"/>
        <v>0</v>
      </c>
      <c r="BG29" s="25">
        <f t="shared" si="15"/>
        <v>0</v>
      </c>
      <c r="BH29" s="25">
        <f t="shared" si="16"/>
        <v>0</v>
      </c>
      <c r="BI29" s="25">
        <f t="shared" si="17"/>
        <v>0</v>
      </c>
      <c r="BJ29" s="25">
        <f t="shared" si="18"/>
        <v>0</v>
      </c>
      <c r="BK29" s="25">
        <f t="shared" si="39"/>
        <v>0</v>
      </c>
      <c r="BM29" s="25" t="e">
        <f t="shared" si="40"/>
        <v>#VALUE!</v>
      </c>
      <c r="BN29" s="25" t="e">
        <f t="shared" si="41"/>
        <v>#VALUE!</v>
      </c>
      <c r="BO29" s="25" t="e">
        <f t="shared" si="54"/>
        <v>#N/A</v>
      </c>
      <c r="BP29" s="25" t="e">
        <f t="shared" si="19"/>
        <v>#N/A</v>
      </c>
      <c r="BQ29" s="46" t="e">
        <f t="shared" si="20"/>
        <v>#VALUE!</v>
      </c>
      <c r="BS29" s="122">
        <f t="shared" si="59"/>
        <v>5</v>
      </c>
      <c r="BT29" s="122">
        <f t="shared" si="59"/>
        <v>4</v>
      </c>
      <c r="BU29" s="154" t="str">
        <f t="shared" si="42"/>
        <v>x</v>
      </c>
      <c r="BV29" s="155" t="str">
        <f t="shared" ref="BV29" si="63">INDEX(N$17:N$42,BS29)</f>
        <v/>
      </c>
    </row>
    <row r="30" spans="1:74" ht="36" customHeight="1" x14ac:dyDescent="0.45">
      <c r="A30" s="180">
        <v>14</v>
      </c>
      <c r="B30" s="181"/>
      <c r="C30" s="181"/>
      <c r="D30" s="181"/>
      <c r="E30" s="181"/>
      <c r="F30" s="181"/>
      <c r="G30" s="147"/>
      <c r="H30" s="148" t="str">
        <f t="shared" si="2"/>
        <v/>
      </c>
      <c r="I30" s="31" t="str">
        <f t="shared" si="55"/>
        <v/>
      </c>
      <c r="J30" s="32" t="str">
        <f t="shared" si="21"/>
        <v/>
      </c>
      <c r="K30" s="31" t="str">
        <f t="shared" si="44"/>
        <v/>
      </c>
      <c r="L30" s="151" t="str">
        <f t="shared" si="22"/>
        <v/>
      </c>
      <c r="M30" s="40">
        <f t="shared" si="23"/>
        <v>0</v>
      </c>
      <c r="N30" s="2" t="str">
        <f t="shared" si="24"/>
        <v/>
      </c>
      <c r="O30" s="38"/>
      <c r="P30" s="38">
        <f t="shared" si="25"/>
        <v>0</v>
      </c>
      <c r="Q30" s="38" t="e">
        <f t="shared" si="3"/>
        <v>#VALUE!</v>
      </c>
      <c r="R30" s="38"/>
      <c r="S30" s="38"/>
      <c r="T30" s="38" t="e">
        <f t="shared" si="26"/>
        <v>#N/A</v>
      </c>
      <c r="U30" s="38" t="e">
        <f t="shared" si="4"/>
        <v>#N/A</v>
      </c>
      <c r="V30" s="38"/>
      <c r="W30" s="38" t="e">
        <f t="shared" si="45"/>
        <v>#N/A</v>
      </c>
      <c r="X30" s="38"/>
      <c r="Y30" s="58"/>
      <c r="Z30" s="38"/>
      <c r="AA30" s="65"/>
      <c r="AB30" s="33"/>
      <c r="AC30" s="41">
        <f t="shared" si="27"/>
        <v>0</v>
      </c>
      <c r="AD30" s="6" t="e">
        <f t="shared" si="28"/>
        <v>#N/A</v>
      </c>
      <c r="AE30" s="6" t="e">
        <f t="shared" si="29"/>
        <v>#N/A</v>
      </c>
      <c r="AF30" s="6" t="e">
        <f t="shared" si="30"/>
        <v>#N/A</v>
      </c>
      <c r="AG30" s="43">
        <f t="shared" si="31"/>
        <v>0</v>
      </c>
      <c r="AH30" s="43" t="e">
        <f t="shared" si="32"/>
        <v>#N/A</v>
      </c>
      <c r="AI30" s="43" t="e">
        <f t="shared" si="33"/>
        <v>#N/A</v>
      </c>
      <c r="AJ30" s="125">
        <f t="shared" si="46"/>
        <v>0</v>
      </c>
      <c r="AL30" s="41">
        <f t="shared" si="6"/>
        <v>0</v>
      </c>
      <c r="AM30" s="41">
        <f t="shared" si="47"/>
        <v>0</v>
      </c>
      <c r="AN30" s="41">
        <f t="shared" si="48"/>
        <v>0</v>
      </c>
      <c r="AO30" s="41">
        <f t="shared" si="49"/>
        <v>0</v>
      </c>
      <c r="AP30" s="153">
        <f t="shared" si="34"/>
        <v>0</v>
      </c>
      <c r="AQ30" s="41">
        <f t="shared" si="50"/>
        <v>0</v>
      </c>
      <c r="AR30" s="41">
        <f t="shared" si="51"/>
        <v>0</v>
      </c>
      <c r="AS30" s="41">
        <f t="shared" si="52"/>
        <v>0</v>
      </c>
      <c r="AT30" s="45">
        <f t="shared" si="35"/>
        <v>0</v>
      </c>
      <c r="AU30" s="68" t="e">
        <f t="shared" si="36"/>
        <v>#VALUE!</v>
      </c>
      <c r="AV30" s="41" t="e">
        <f t="shared" si="7"/>
        <v>#VALUE!</v>
      </c>
      <c r="AW30" s="41" t="e">
        <f t="shared" si="8"/>
        <v>#VALUE!</v>
      </c>
      <c r="AX30" s="41" t="e">
        <f t="shared" si="9"/>
        <v>#VALUE!</v>
      </c>
      <c r="AY30" s="41" t="e">
        <f t="shared" si="37"/>
        <v>#VALUE!</v>
      </c>
      <c r="AZ30" s="11">
        <f t="shared" si="53"/>
        <v>0</v>
      </c>
      <c r="BA30" s="25">
        <f t="shared" si="38"/>
        <v>0</v>
      </c>
      <c r="BB30" s="25">
        <f t="shared" si="10"/>
        <v>0</v>
      </c>
      <c r="BC30" s="25">
        <f t="shared" si="11"/>
        <v>0</v>
      </c>
      <c r="BD30" s="25">
        <f t="shared" si="12"/>
        <v>0</v>
      </c>
      <c r="BE30" s="25">
        <f t="shared" si="13"/>
        <v>0</v>
      </c>
      <c r="BF30" s="25">
        <f t="shared" si="14"/>
        <v>0</v>
      </c>
      <c r="BG30" s="25">
        <f t="shared" si="15"/>
        <v>0</v>
      </c>
      <c r="BH30" s="25">
        <f t="shared" si="16"/>
        <v>0</v>
      </c>
      <c r="BI30" s="25">
        <f t="shared" si="17"/>
        <v>0</v>
      </c>
      <c r="BJ30" s="25">
        <f t="shared" si="18"/>
        <v>0</v>
      </c>
      <c r="BK30" s="25">
        <f t="shared" si="39"/>
        <v>0</v>
      </c>
      <c r="BM30" s="25" t="e">
        <f t="shared" si="40"/>
        <v>#VALUE!</v>
      </c>
      <c r="BN30" s="25" t="e">
        <f t="shared" si="41"/>
        <v>#VALUE!</v>
      </c>
      <c r="BO30" s="25" t="e">
        <f t="shared" si="54"/>
        <v>#N/A</v>
      </c>
      <c r="BP30" s="25" t="e">
        <f t="shared" si="19"/>
        <v>#N/A</v>
      </c>
      <c r="BQ30" s="46" t="e">
        <f t="shared" si="20"/>
        <v>#VALUE!</v>
      </c>
      <c r="BS30" s="122">
        <f t="shared" si="59"/>
        <v>5</v>
      </c>
      <c r="BT30" s="122">
        <f t="shared" si="59"/>
        <v>6</v>
      </c>
      <c r="BU30" s="154" t="str">
        <f t="shared" si="42"/>
        <v>x</v>
      </c>
      <c r="BV30" s="155" t="str">
        <f t="shared" si="43"/>
        <v/>
      </c>
    </row>
    <row r="31" spans="1:74" ht="36" customHeight="1" x14ac:dyDescent="0.45">
      <c r="A31" s="178">
        <v>15</v>
      </c>
      <c r="B31" s="179"/>
      <c r="C31" s="179"/>
      <c r="D31" s="179"/>
      <c r="E31" s="179"/>
      <c r="F31" s="179"/>
      <c r="G31" s="147"/>
      <c r="H31" s="148" t="str">
        <f t="shared" si="2"/>
        <v/>
      </c>
      <c r="I31" s="31" t="str">
        <f t="shared" si="55"/>
        <v/>
      </c>
      <c r="J31" s="32" t="str">
        <f t="shared" si="21"/>
        <v/>
      </c>
      <c r="K31" s="31" t="str">
        <f t="shared" si="44"/>
        <v/>
      </c>
      <c r="L31" s="151" t="str">
        <f>IF(ISBLANK(B31),"",I31*K31)</f>
        <v/>
      </c>
      <c r="M31" s="146">
        <f t="shared" si="23"/>
        <v>0</v>
      </c>
      <c r="N31" s="2" t="str">
        <f t="shared" si="24"/>
        <v/>
      </c>
      <c r="O31" s="38"/>
      <c r="P31" s="38">
        <f t="shared" si="25"/>
        <v>0</v>
      </c>
      <c r="Q31" s="38" t="e">
        <f t="shared" si="3"/>
        <v>#VALUE!</v>
      </c>
      <c r="R31" s="38"/>
      <c r="S31" s="38"/>
      <c r="T31" s="38" t="e">
        <f t="shared" si="26"/>
        <v>#N/A</v>
      </c>
      <c r="U31" s="38" t="e">
        <f t="shared" si="4"/>
        <v>#N/A</v>
      </c>
      <c r="V31" s="38"/>
      <c r="W31" s="38" t="e">
        <f t="shared" si="45"/>
        <v>#N/A</v>
      </c>
      <c r="X31" s="38"/>
      <c r="Y31" s="58"/>
      <c r="Z31" s="38"/>
      <c r="AA31" s="65"/>
      <c r="AB31" s="33"/>
      <c r="AC31" s="41">
        <f t="shared" si="27"/>
        <v>0</v>
      </c>
      <c r="AD31" s="6" t="e">
        <f t="shared" si="28"/>
        <v>#N/A</v>
      </c>
      <c r="AE31" s="6" t="e">
        <f t="shared" si="29"/>
        <v>#N/A</v>
      </c>
      <c r="AF31" s="6" t="e">
        <f t="shared" si="30"/>
        <v>#N/A</v>
      </c>
      <c r="AG31" s="43">
        <f t="shared" si="31"/>
        <v>0</v>
      </c>
      <c r="AH31" s="43" t="e">
        <f t="shared" si="32"/>
        <v>#N/A</v>
      </c>
      <c r="AI31" s="43" t="e">
        <f>IF($M31&lt;0.15,NA(),$M31)</f>
        <v>#N/A</v>
      </c>
      <c r="AJ31" s="125">
        <f t="shared" si="46"/>
        <v>0</v>
      </c>
      <c r="AL31" s="41">
        <f t="shared" si="6"/>
        <v>0</v>
      </c>
      <c r="AM31" s="41">
        <f t="shared" si="47"/>
        <v>0</v>
      </c>
      <c r="AN31" s="41">
        <f t="shared" si="48"/>
        <v>0</v>
      </c>
      <c r="AO31" s="41">
        <f t="shared" si="49"/>
        <v>0</v>
      </c>
      <c r="AP31" s="153">
        <f t="shared" si="34"/>
        <v>0</v>
      </c>
      <c r="AQ31" s="41">
        <f t="shared" si="50"/>
        <v>0</v>
      </c>
      <c r="AR31" s="41">
        <f t="shared" si="51"/>
        <v>0</v>
      </c>
      <c r="AS31" s="41">
        <f t="shared" si="52"/>
        <v>0</v>
      </c>
      <c r="AT31" s="45">
        <f t="shared" si="35"/>
        <v>0</v>
      </c>
      <c r="AU31" s="68" t="e">
        <f t="shared" si="36"/>
        <v>#VALUE!</v>
      </c>
      <c r="AV31" s="41" t="e">
        <f t="shared" si="7"/>
        <v>#VALUE!</v>
      </c>
      <c r="AW31" s="41" t="e">
        <f t="shared" si="8"/>
        <v>#VALUE!</v>
      </c>
      <c r="AX31" s="41" t="e">
        <f t="shared" si="9"/>
        <v>#VALUE!</v>
      </c>
      <c r="AY31" s="41" t="e">
        <f t="shared" si="37"/>
        <v>#VALUE!</v>
      </c>
      <c r="AZ31" s="11">
        <f t="shared" si="53"/>
        <v>0</v>
      </c>
      <c r="BA31" s="25">
        <f t="shared" si="38"/>
        <v>0</v>
      </c>
      <c r="BB31" s="25">
        <f t="shared" si="10"/>
        <v>0</v>
      </c>
      <c r="BC31" s="25">
        <f t="shared" si="11"/>
        <v>0</v>
      </c>
      <c r="BD31" s="25">
        <f t="shared" si="12"/>
        <v>0</v>
      </c>
      <c r="BE31" s="25">
        <f t="shared" si="13"/>
        <v>0</v>
      </c>
      <c r="BF31" s="25">
        <f t="shared" si="14"/>
        <v>0</v>
      </c>
      <c r="BG31" s="25">
        <f t="shared" si="15"/>
        <v>0</v>
      </c>
      <c r="BH31" s="25">
        <f t="shared" si="16"/>
        <v>0</v>
      </c>
      <c r="BI31" s="25">
        <f t="shared" si="17"/>
        <v>0</v>
      </c>
      <c r="BJ31" s="25">
        <f t="shared" si="18"/>
        <v>0</v>
      </c>
      <c r="BK31" s="25">
        <f t="shared" si="39"/>
        <v>0</v>
      </c>
      <c r="BM31" s="25" t="e">
        <f t="shared" si="40"/>
        <v>#VALUE!</v>
      </c>
      <c r="BN31" s="25" t="e">
        <f t="shared" si="41"/>
        <v>#VALUE!</v>
      </c>
      <c r="BO31" s="25" t="e">
        <f t="shared" si="54"/>
        <v>#N/A</v>
      </c>
      <c r="BP31" s="25" t="e">
        <f t="shared" si="19"/>
        <v>#N/A</v>
      </c>
      <c r="BQ31" s="46" t="e">
        <f t="shared" si="20"/>
        <v>#VALUE!</v>
      </c>
      <c r="BS31" s="122">
        <f t="shared" si="59"/>
        <v>5</v>
      </c>
      <c r="BT31" s="122">
        <f t="shared" si="59"/>
        <v>6</v>
      </c>
      <c r="BU31" s="154" t="str">
        <f t="shared" si="42"/>
        <v>x</v>
      </c>
      <c r="BV31" s="155" t="str">
        <f t="shared" ref="BV31" si="64">IF(ISBLANK(INDEX(B$17:B$42,BS31)),BV30,$BV$15)</f>
        <v/>
      </c>
    </row>
    <row r="32" spans="1:74" ht="36" customHeight="1" x14ac:dyDescent="0.45">
      <c r="A32" s="180">
        <v>16</v>
      </c>
      <c r="B32" s="181"/>
      <c r="C32" s="182"/>
      <c r="D32" s="182"/>
      <c r="E32" s="182"/>
      <c r="F32" s="181"/>
      <c r="H32" s="148" t="str">
        <f t="shared" si="2"/>
        <v/>
      </c>
      <c r="I32" s="31" t="str">
        <f t="shared" si="55"/>
        <v/>
      </c>
      <c r="J32" s="32" t="str">
        <f t="shared" si="21"/>
        <v/>
      </c>
      <c r="K32" s="31" t="str">
        <f t="shared" si="44"/>
        <v/>
      </c>
      <c r="L32" s="151" t="str">
        <f t="shared" ref="L32:L42" si="65">IF(ISBLANK(B32),"",I32*K32)</f>
        <v/>
      </c>
      <c r="M32" s="146">
        <f t="shared" si="23"/>
        <v>0</v>
      </c>
      <c r="N32" s="2" t="str">
        <f t="shared" si="24"/>
        <v/>
      </c>
      <c r="O32" s="38"/>
      <c r="P32" s="38">
        <f t="shared" si="25"/>
        <v>0</v>
      </c>
      <c r="Q32" s="38" t="e">
        <f t="shared" si="3"/>
        <v>#VALUE!</v>
      </c>
      <c r="R32" s="38"/>
      <c r="S32" s="38"/>
      <c r="T32" s="38" t="e">
        <f t="shared" si="26"/>
        <v>#N/A</v>
      </c>
      <c r="U32" s="38" t="e">
        <f t="shared" si="4"/>
        <v>#N/A</v>
      </c>
      <c r="V32" s="38"/>
      <c r="W32" s="38" t="e">
        <f t="shared" si="45"/>
        <v>#N/A</v>
      </c>
      <c r="X32" s="38"/>
      <c r="Y32" s="58"/>
      <c r="Z32" s="38"/>
      <c r="AA32" s="65"/>
      <c r="AB32" s="33"/>
      <c r="AC32" s="41">
        <f t="shared" si="27"/>
        <v>0</v>
      </c>
      <c r="AD32" s="6" t="e">
        <f t="shared" si="28"/>
        <v>#N/A</v>
      </c>
      <c r="AE32" s="6" t="e">
        <f t="shared" si="29"/>
        <v>#N/A</v>
      </c>
      <c r="AF32" s="6" t="e">
        <f t="shared" si="30"/>
        <v>#N/A</v>
      </c>
      <c r="AG32" s="43">
        <f t="shared" si="31"/>
        <v>0</v>
      </c>
      <c r="AH32" s="43" t="e">
        <f t="shared" si="32"/>
        <v>#N/A</v>
      </c>
      <c r="AI32" s="43" t="e">
        <f t="shared" si="33"/>
        <v>#N/A</v>
      </c>
      <c r="AJ32" s="125">
        <f t="shared" si="46"/>
        <v>0</v>
      </c>
      <c r="AL32" s="41">
        <f t="shared" si="6"/>
        <v>0</v>
      </c>
      <c r="AM32" s="41">
        <f t="shared" si="47"/>
        <v>0</v>
      </c>
      <c r="AN32" s="41">
        <f t="shared" si="48"/>
        <v>0</v>
      </c>
      <c r="AO32" s="41">
        <f t="shared" si="49"/>
        <v>0</v>
      </c>
      <c r="AP32" s="153">
        <f t="shared" si="34"/>
        <v>0</v>
      </c>
      <c r="AQ32" s="41">
        <f t="shared" si="50"/>
        <v>0</v>
      </c>
      <c r="AR32" s="41">
        <f t="shared" si="51"/>
        <v>0</v>
      </c>
      <c r="AS32" s="41">
        <f>IF(AP32=0,0,IF(ISBLANK(#REF!),$AA$11/I31,$AA$11/I32))</f>
        <v>0</v>
      </c>
      <c r="AT32" s="45">
        <f t="shared" si="35"/>
        <v>0</v>
      </c>
      <c r="AU32" s="68" t="e">
        <f t="shared" si="36"/>
        <v>#VALUE!</v>
      </c>
      <c r="AV32" s="41" t="e">
        <f t="shared" si="7"/>
        <v>#VALUE!</v>
      </c>
      <c r="AW32" s="41" t="e">
        <f t="shared" si="8"/>
        <v>#VALUE!</v>
      </c>
      <c r="AX32" s="41" t="e">
        <f t="shared" si="9"/>
        <v>#VALUE!</v>
      </c>
      <c r="AY32" s="41" t="e">
        <f t="shared" si="37"/>
        <v>#VALUE!</v>
      </c>
      <c r="AZ32" s="11">
        <f t="shared" si="53"/>
        <v>0</v>
      </c>
      <c r="BA32" s="25">
        <f t="shared" si="38"/>
        <v>0</v>
      </c>
      <c r="BB32" s="25">
        <f t="shared" si="10"/>
        <v>0</v>
      </c>
      <c r="BC32" s="25">
        <f t="shared" si="11"/>
        <v>0</v>
      </c>
      <c r="BD32" s="25">
        <f t="shared" si="12"/>
        <v>0</v>
      </c>
      <c r="BE32" s="25">
        <f t="shared" si="13"/>
        <v>0</v>
      </c>
      <c r="BF32" s="25">
        <f t="shared" si="14"/>
        <v>0</v>
      </c>
      <c r="BG32" s="25">
        <f t="shared" si="15"/>
        <v>0</v>
      </c>
      <c r="BH32" s="25">
        <f t="shared" si="16"/>
        <v>0</v>
      </c>
      <c r="BI32" s="25">
        <f t="shared" si="17"/>
        <v>0</v>
      </c>
      <c r="BJ32" s="25">
        <f t="shared" si="18"/>
        <v>0</v>
      </c>
      <c r="BK32" s="25">
        <f t="shared" si="39"/>
        <v>0</v>
      </c>
      <c r="BM32" s="25" t="e">
        <f t="shared" si="40"/>
        <v>#VALUE!</v>
      </c>
      <c r="BN32" s="25" t="e">
        <f t="shared" si="41"/>
        <v>#VALUE!</v>
      </c>
      <c r="BO32" s="25" t="e">
        <f t="shared" si="54"/>
        <v>#N/A</v>
      </c>
      <c r="BP32" s="25" t="e">
        <f t="shared" si="19"/>
        <v>#N/A</v>
      </c>
      <c r="BQ32" s="46" t="e">
        <f t="shared" si="20"/>
        <v>#VALUE!</v>
      </c>
      <c r="BS32" s="122">
        <f t="shared" si="59"/>
        <v>6</v>
      </c>
      <c r="BT32" s="122">
        <f t="shared" si="59"/>
        <v>5</v>
      </c>
      <c r="BU32" s="154" t="str">
        <f t="shared" si="42"/>
        <v>x</v>
      </c>
      <c r="BV32" s="155" t="str">
        <f t="shared" ref="BV32" si="66">INDEX(N$17:N$42,BS32)</f>
        <v/>
      </c>
    </row>
    <row r="33" spans="1:74" ht="36" customHeight="1" x14ac:dyDescent="0.45">
      <c r="A33" s="178">
        <v>17</v>
      </c>
      <c r="B33" s="179"/>
      <c r="C33" s="179"/>
      <c r="D33" s="179"/>
      <c r="E33" s="179"/>
      <c r="F33" s="179"/>
      <c r="H33" s="148" t="str">
        <f t="shared" si="2"/>
        <v/>
      </c>
      <c r="I33" s="31" t="str">
        <f t="shared" si="55"/>
        <v/>
      </c>
      <c r="J33" s="32" t="str">
        <f t="shared" si="21"/>
        <v/>
      </c>
      <c r="K33" s="31" t="str">
        <f t="shared" si="44"/>
        <v/>
      </c>
      <c r="L33" s="151" t="str">
        <f t="shared" si="65"/>
        <v/>
      </c>
      <c r="M33" s="146">
        <f t="shared" si="23"/>
        <v>0</v>
      </c>
      <c r="N33" s="2" t="str">
        <f t="shared" si="24"/>
        <v/>
      </c>
      <c r="O33" s="38"/>
      <c r="P33" s="38">
        <f t="shared" si="25"/>
        <v>0</v>
      </c>
      <c r="Q33" s="38" t="e">
        <f t="shared" si="3"/>
        <v>#VALUE!</v>
      </c>
      <c r="R33" s="38"/>
      <c r="S33" s="38"/>
      <c r="T33" s="38" t="e">
        <f t="shared" si="26"/>
        <v>#N/A</v>
      </c>
      <c r="U33" s="38" t="e">
        <f t="shared" si="4"/>
        <v>#N/A</v>
      </c>
      <c r="V33" s="38"/>
      <c r="W33" s="38" t="e">
        <f t="shared" si="45"/>
        <v>#N/A</v>
      </c>
      <c r="X33" s="38"/>
      <c r="Y33" s="58"/>
      <c r="Z33" s="38"/>
      <c r="AA33" s="65"/>
      <c r="AB33" s="33"/>
      <c r="AC33" s="41">
        <f t="shared" si="27"/>
        <v>0</v>
      </c>
      <c r="AD33" s="6" t="e">
        <f t="shared" si="28"/>
        <v>#N/A</v>
      </c>
      <c r="AE33" s="6" t="e">
        <f t="shared" si="29"/>
        <v>#N/A</v>
      </c>
      <c r="AF33" s="6" t="e">
        <f t="shared" si="30"/>
        <v>#N/A</v>
      </c>
      <c r="AG33" s="43">
        <f t="shared" si="31"/>
        <v>0</v>
      </c>
      <c r="AH33" s="43" t="e">
        <f t="shared" si="32"/>
        <v>#N/A</v>
      </c>
      <c r="AI33" s="43" t="e">
        <f t="shared" si="33"/>
        <v>#N/A</v>
      </c>
      <c r="AJ33" s="125">
        <f t="shared" si="46"/>
        <v>0</v>
      </c>
      <c r="AL33" s="41">
        <f t="shared" si="6"/>
        <v>0</v>
      </c>
      <c r="AM33" s="41">
        <f t="shared" si="47"/>
        <v>0</v>
      </c>
      <c r="AN33" s="41">
        <f t="shared" si="48"/>
        <v>0</v>
      </c>
      <c r="AO33" s="41">
        <f t="shared" si="49"/>
        <v>0</v>
      </c>
      <c r="AP33" s="153">
        <f t="shared" si="34"/>
        <v>0</v>
      </c>
      <c r="AQ33" s="41">
        <f t="shared" si="50"/>
        <v>0</v>
      </c>
      <c r="AR33" s="41">
        <f t="shared" si="51"/>
        <v>0</v>
      </c>
      <c r="AS33" s="41">
        <f t="shared" ref="AS33:AS39" si="67">IF(AP33=0,0,IF(ISBLANK(D32),$AA$11/I32,$AA$11/I33))</f>
        <v>0</v>
      </c>
      <c r="AT33" s="45">
        <f t="shared" si="35"/>
        <v>0</v>
      </c>
      <c r="AU33" s="68" t="e">
        <f t="shared" si="36"/>
        <v>#VALUE!</v>
      </c>
      <c r="AV33" s="41" t="e">
        <f t="shared" si="7"/>
        <v>#VALUE!</v>
      </c>
      <c r="AW33" s="41" t="e">
        <f t="shared" si="8"/>
        <v>#VALUE!</v>
      </c>
      <c r="AX33" s="41" t="e">
        <f t="shared" si="9"/>
        <v>#VALUE!</v>
      </c>
      <c r="AY33" s="41" t="e">
        <f t="shared" si="37"/>
        <v>#VALUE!</v>
      </c>
      <c r="AZ33" s="11">
        <f t="shared" si="53"/>
        <v>0</v>
      </c>
      <c r="BA33" s="25">
        <f t="shared" si="38"/>
        <v>0</v>
      </c>
      <c r="BB33" s="25">
        <f t="shared" si="10"/>
        <v>0</v>
      </c>
      <c r="BC33" s="25">
        <f t="shared" si="11"/>
        <v>0</v>
      </c>
      <c r="BD33" s="25">
        <f t="shared" si="12"/>
        <v>0</v>
      </c>
      <c r="BE33" s="25">
        <f t="shared" si="13"/>
        <v>0</v>
      </c>
      <c r="BF33" s="25">
        <f t="shared" si="14"/>
        <v>0</v>
      </c>
      <c r="BG33" s="25">
        <f t="shared" si="15"/>
        <v>0</v>
      </c>
      <c r="BH33" s="25">
        <f t="shared" si="16"/>
        <v>0</v>
      </c>
      <c r="BI33" s="25">
        <f t="shared" si="17"/>
        <v>0</v>
      </c>
      <c r="BJ33" s="25">
        <f t="shared" si="18"/>
        <v>0</v>
      </c>
      <c r="BK33" s="25">
        <f t="shared" si="39"/>
        <v>0</v>
      </c>
      <c r="BM33" s="25" t="e">
        <f t="shared" si="40"/>
        <v>#VALUE!</v>
      </c>
      <c r="BN33" s="25" t="e">
        <f t="shared" si="41"/>
        <v>#VALUE!</v>
      </c>
      <c r="BO33" s="25" t="e">
        <f t="shared" si="54"/>
        <v>#N/A</v>
      </c>
      <c r="BP33" s="25" t="e">
        <f t="shared" si="19"/>
        <v>#N/A</v>
      </c>
      <c r="BQ33" s="46" t="e">
        <f t="shared" si="20"/>
        <v>#VALUE!</v>
      </c>
      <c r="BS33" s="122">
        <f t="shared" si="59"/>
        <v>6</v>
      </c>
      <c r="BT33" s="122">
        <f t="shared" si="59"/>
        <v>7</v>
      </c>
      <c r="BU33" s="154" t="str">
        <f t="shared" si="42"/>
        <v>x</v>
      </c>
      <c r="BV33" s="155" t="str">
        <f t="shared" si="43"/>
        <v/>
      </c>
    </row>
    <row r="34" spans="1:74" ht="36" customHeight="1" x14ac:dyDescent="0.45">
      <c r="A34" s="180">
        <v>18</v>
      </c>
      <c r="B34" s="181"/>
      <c r="C34" s="181"/>
      <c r="D34" s="181"/>
      <c r="E34" s="181"/>
      <c r="F34" s="181"/>
      <c r="H34" s="148" t="str">
        <f t="shared" si="2"/>
        <v/>
      </c>
      <c r="I34" s="31" t="str">
        <f t="shared" si="55"/>
        <v/>
      </c>
      <c r="J34" s="32" t="str">
        <f t="shared" si="21"/>
        <v/>
      </c>
      <c r="K34" s="31" t="str">
        <f t="shared" si="44"/>
        <v/>
      </c>
      <c r="L34" s="151" t="str">
        <f t="shared" si="65"/>
        <v/>
      </c>
      <c r="M34" s="146">
        <f t="shared" si="23"/>
        <v>0</v>
      </c>
      <c r="N34" s="2" t="str">
        <f t="shared" si="24"/>
        <v/>
      </c>
      <c r="O34" s="38"/>
      <c r="P34" s="38">
        <f t="shared" si="25"/>
        <v>0</v>
      </c>
      <c r="Q34" s="38" t="e">
        <f t="shared" si="3"/>
        <v>#VALUE!</v>
      </c>
      <c r="R34" s="38"/>
      <c r="S34" s="38"/>
      <c r="T34" s="38" t="e">
        <f t="shared" si="26"/>
        <v>#N/A</v>
      </c>
      <c r="U34" s="38" t="e">
        <f t="shared" si="4"/>
        <v>#N/A</v>
      </c>
      <c r="V34" s="38"/>
      <c r="W34" s="38" t="e">
        <f t="shared" si="45"/>
        <v>#N/A</v>
      </c>
      <c r="X34" s="38"/>
      <c r="Y34" s="58"/>
      <c r="Z34" s="38"/>
      <c r="AA34" s="65"/>
      <c r="AB34" s="33"/>
      <c r="AC34" s="41">
        <f t="shared" si="27"/>
        <v>0</v>
      </c>
      <c r="AD34" s="6" t="e">
        <f t="shared" si="28"/>
        <v>#N/A</v>
      </c>
      <c r="AE34" s="6" t="e">
        <f t="shared" si="29"/>
        <v>#N/A</v>
      </c>
      <c r="AF34" s="6" t="e">
        <f t="shared" si="30"/>
        <v>#N/A</v>
      </c>
      <c r="AG34" s="43">
        <f t="shared" si="31"/>
        <v>0</v>
      </c>
      <c r="AH34" s="43" t="e">
        <f t="shared" si="32"/>
        <v>#N/A</v>
      </c>
      <c r="AI34" s="43" t="e">
        <f t="shared" si="33"/>
        <v>#N/A</v>
      </c>
      <c r="AJ34" s="125">
        <f t="shared" si="46"/>
        <v>0</v>
      </c>
      <c r="AL34" s="41">
        <f t="shared" si="6"/>
        <v>0</v>
      </c>
      <c r="AM34" s="41">
        <f t="shared" si="47"/>
        <v>0</v>
      </c>
      <c r="AN34" s="41">
        <f t="shared" si="48"/>
        <v>0</v>
      </c>
      <c r="AO34" s="41">
        <f t="shared" si="49"/>
        <v>0</v>
      </c>
      <c r="AP34" s="153">
        <f t="shared" si="34"/>
        <v>0</v>
      </c>
      <c r="AQ34" s="41">
        <f t="shared" si="50"/>
        <v>0</v>
      </c>
      <c r="AR34" s="41">
        <f t="shared" si="51"/>
        <v>0</v>
      </c>
      <c r="AS34" s="41">
        <f t="shared" si="67"/>
        <v>0</v>
      </c>
      <c r="AT34" s="45">
        <f t="shared" si="35"/>
        <v>0</v>
      </c>
      <c r="AU34" s="68" t="e">
        <f t="shared" si="36"/>
        <v>#VALUE!</v>
      </c>
      <c r="AV34" s="41" t="e">
        <f t="shared" si="7"/>
        <v>#VALUE!</v>
      </c>
      <c r="AW34" s="41" t="e">
        <f t="shared" si="8"/>
        <v>#VALUE!</v>
      </c>
      <c r="AX34" s="41" t="e">
        <f t="shared" si="9"/>
        <v>#VALUE!</v>
      </c>
      <c r="AY34" s="41" t="e">
        <f t="shared" si="37"/>
        <v>#VALUE!</v>
      </c>
      <c r="AZ34" s="11">
        <f t="shared" si="53"/>
        <v>0</v>
      </c>
      <c r="BA34" s="25">
        <f t="shared" si="38"/>
        <v>0</v>
      </c>
      <c r="BB34" s="25">
        <f t="shared" si="10"/>
        <v>0</v>
      </c>
      <c r="BC34" s="25">
        <f t="shared" si="11"/>
        <v>0</v>
      </c>
      <c r="BD34" s="25">
        <f t="shared" si="12"/>
        <v>0</v>
      </c>
      <c r="BE34" s="25">
        <f t="shared" si="13"/>
        <v>0</v>
      </c>
      <c r="BF34" s="25">
        <f t="shared" si="14"/>
        <v>0</v>
      </c>
      <c r="BG34" s="25">
        <f t="shared" si="15"/>
        <v>0</v>
      </c>
      <c r="BH34" s="25">
        <f t="shared" si="16"/>
        <v>0</v>
      </c>
      <c r="BI34" s="25">
        <f t="shared" si="17"/>
        <v>0</v>
      </c>
      <c r="BJ34" s="25">
        <f t="shared" si="18"/>
        <v>0</v>
      </c>
      <c r="BK34" s="25">
        <f t="shared" si="39"/>
        <v>0</v>
      </c>
      <c r="BM34" s="25" t="e">
        <f t="shared" si="40"/>
        <v>#VALUE!</v>
      </c>
      <c r="BN34" s="25" t="e">
        <f t="shared" si="41"/>
        <v>#VALUE!</v>
      </c>
      <c r="BO34" s="25" t="e">
        <f t="shared" si="54"/>
        <v>#N/A</v>
      </c>
      <c r="BP34" s="25" t="e">
        <f t="shared" si="19"/>
        <v>#N/A</v>
      </c>
      <c r="BQ34" s="46" t="e">
        <f t="shared" si="20"/>
        <v>#VALUE!</v>
      </c>
      <c r="BS34" s="122">
        <f t="shared" si="59"/>
        <v>6</v>
      </c>
      <c r="BT34" s="122">
        <f t="shared" si="59"/>
        <v>7</v>
      </c>
      <c r="BU34" s="154" t="str">
        <f t="shared" si="42"/>
        <v>x</v>
      </c>
      <c r="BV34" s="155" t="str">
        <f t="shared" ref="BV34" si="68">IF(ISBLANK(INDEX(B$17:B$42,BS34)),BV33,$BV$15)</f>
        <v/>
      </c>
    </row>
    <row r="35" spans="1:74" ht="36" customHeight="1" x14ac:dyDescent="0.45">
      <c r="A35" s="178">
        <v>19</v>
      </c>
      <c r="B35" s="179"/>
      <c r="C35" s="179"/>
      <c r="D35" s="179"/>
      <c r="E35" s="179"/>
      <c r="F35" s="179"/>
      <c r="H35" s="148" t="str">
        <f t="shared" si="2"/>
        <v/>
      </c>
      <c r="I35" s="31" t="str">
        <f t="shared" si="55"/>
        <v/>
      </c>
      <c r="J35" s="32" t="str">
        <f t="shared" si="21"/>
        <v/>
      </c>
      <c r="K35" s="31" t="str">
        <f t="shared" si="44"/>
        <v/>
      </c>
      <c r="L35" s="151" t="str">
        <f t="shared" si="65"/>
        <v/>
      </c>
      <c r="M35" s="146">
        <f t="shared" si="23"/>
        <v>0</v>
      </c>
      <c r="N35" s="2" t="str">
        <f t="shared" si="24"/>
        <v/>
      </c>
      <c r="O35" s="38"/>
      <c r="P35" s="38">
        <f t="shared" si="25"/>
        <v>0</v>
      </c>
      <c r="Q35" s="38" t="e">
        <f t="shared" si="3"/>
        <v>#VALUE!</v>
      </c>
      <c r="R35" s="38"/>
      <c r="S35" s="38"/>
      <c r="T35" s="38" t="e">
        <f t="shared" si="26"/>
        <v>#N/A</v>
      </c>
      <c r="U35" s="38" t="e">
        <f t="shared" si="4"/>
        <v>#N/A</v>
      </c>
      <c r="V35" s="38"/>
      <c r="W35" s="38" t="e">
        <f t="shared" si="45"/>
        <v>#N/A</v>
      </c>
      <c r="X35" s="38"/>
      <c r="Y35" s="58"/>
      <c r="Z35" s="38"/>
      <c r="AA35" s="65"/>
      <c r="AB35" s="33"/>
      <c r="AC35" s="41">
        <f t="shared" si="27"/>
        <v>0</v>
      </c>
      <c r="AD35" s="6" t="e">
        <f t="shared" si="28"/>
        <v>#N/A</v>
      </c>
      <c r="AE35" s="6" t="e">
        <f t="shared" si="29"/>
        <v>#N/A</v>
      </c>
      <c r="AF35" s="6" t="e">
        <f t="shared" si="30"/>
        <v>#N/A</v>
      </c>
      <c r="AG35" s="43">
        <f t="shared" si="31"/>
        <v>0</v>
      </c>
      <c r="AH35" s="43" t="e">
        <f t="shared" si="32"/>
        <v>#N/A</v>
      </c>
      <c r="AI35" s="43" t="e">
        <f t="shared" si="33"/>
        <v>#N/A</v>
      </c>
      <c r="AJ35" s="125">
        <f t="shared" si="46"/>
        <v>0</v>
      </c>
      <c r="AL35" s="41">
        <f t="shared" si="6"/>
        <v>0</v>
      </c>
      <c r="AM35" s="41">
        <f t="shared" si="47"/>
        <v>0</v>
      </c>
      <c r="AN35" s="41">
        <f t="shared" si="48"/>
        <v>0</v>
      </c>
      <c r="AO35" s="41">
        <f t="shared" si="49"/>
        <v>0</v>
      </c>
      <c r="AP35" s="153">
        <f t="shared" si="34"/>
        <v>0</v>
      </c>
      <c r="AQ35" s="41">
        <f t="shared" si="50"/>
        <v>0</v>
      </c>
      <c r="AR35" s="41">
        <f t="shared" si="51"/>
        <v>0</v>
      </c>
      <c r="AS35" s="41">
        <f t="shared" si="67"/>
        <v>0</v>
      </c>
      <c r="AT35" s="45">
        <f t="shared" si="35"/>
        <v>0</v>
      </c>
      <c r="AU35" s="68" t="e">
        <f t="shared" si="36"/>
        <v>#VALUE!</v>
      </c>
      <c r="AV35" s="41" t="e">
        <f t="shared" si="7"/>
        <v>#VALUE!</v>
      </c>
      <c r="AW35" s="41" t="e">
        <f t="shared" si="8"/>
        <v>#VALUE!</v>
      </c>
      <c r="AX35" s="41" t="e">
        <f t="shared" si="9"/>
        <v>#VALUE!</v>
      </c>
      <c r="AY35" s="41" t="e">
        <f t="shared" si="37"/>
        <v>#VALUE!</v>
      </c>
      <c r="AZ35" s="11">
        <f t="shared" si="53"/>
        <v>0</v>
      </c>
      <c r="BA35" s="25">
        <f t="shared" si="38"/>
        <v>0</v>
      </c>
      <c r="BB35" s="25">
        <f t="shared" si="10"/>
        <v>0</v>
      </c>
      <c r="BC35" s="25">
        <f t="shared" si="11"/>
        <v>0</v>
      </c>
      <c r="BD35" s="25">
        <f t="shared" si="12"/>
        <v>0</v>
      </c>
      <c r="BE35" s="25">
        <f t="shared" si="13"/>
        <v>0</v>
      </c>
      <c r="BF35" s="25">
        <f t="shared" si="14"/>
        <v>0</v>
      </c>
      <c r="BG35" s="25">
        <f t="shared" si="15"/>
        <v>0</v>
      </c>
      <c r="BH35" s="25">
        <f t="shared" si="16"/>
        <v>0</v>
      </c>
      <c r="BI35" s="25">
        <f t="shared" si="17"/>
        <v>0</v>
      </c>
      <c r="BJ35" s="25">
        <f t="shared" si="18"/>
        <v>0</v>
      </c>
      <c r="BK35" s="25">
        <f t="shared" si="39"/>
        <v>0</v>
      </c>
      <c r="BM35" s="25" t="e">
        <f t="shared" si="40"/>
        <v>#VALUE!</v>
      </c>
      <c r="BN35" s="25" t="e">
        <f t="shared" si="41"/>
        <v>#VALUE!</v>
      </c>
      <c r="BO35" s="25" t="e">
        <f t="shared" si="54"/>
        <v>#N/A</v>
      </c>
      <c r="BP35" s="25" t="e">
        <f t="shared" si="19"/>
        <v>#N/A</v>
      </c>
      <c r="BQ35" s="46" t="e">
        <f t="shared" si="20"/>
        <v>#VALUE!</v>
      </c>
      <c r="BS35" s="122">
        <f t="shared" si="59"/>
        <v>7</v>
      </c>
      <c r="BT35" s="122">
        <f t="shared" si="59"/>
        <v>6</v>
      </c>
      <c r="BU35" s="154" t="str">
        <f t="shared" si="42"/>
        <v>x</v>
      </c>
      <c r="BV35" s="155" t="str">
        <f t="shared" ref="BV35" si="69">INDEX(N$17:N$42,BS35)</f>
        <v/>
      </c>
    </row>
    <row r="36" spans="1:74" ht="36" customHeight="1" x14ac:dyDescent="0.45">
      <c r="A36" s="180">
        <v>20</v>
      </c>
      <c r="B36" s="181"/>
      <c r="C36" s="181"/>
      <c r="D36" s="181"/>
      <c r="E36" s="181"/>
      <c r="F36" s="181"/>
      <c r="H36" s="148" t="str">
        <f t="shared" si="2"/>
        <v/>
      </c>
      <c r="I36" s="31" t="str">
        <f t="shared" si="55"/>
        <v/>
      </c>
      <c r="J36" s="32" t="str">
        <f t="shared" si="21"/>
        <v/>
      </c>
      <c r="K36" s="31" t="str">
        <f t="shared" si="44"/>
        <v/>
      </c>
      <c r="L36" s="151" t="str">
        <f t="shared" si="65"/>
        <v/>
      </c>
      <c r="M36" s="146">
        <f t="shared" si="23"/>
        <v>0</v>
      </c>
      <c r="N36" s="2" t="str">
        <f t="shared" si="24"/>
        <v/>
      </c>
      <c r="O36" s="38"/>
      <c r="P36" s="38">
        <f t="shared" si="25"/>
        <v>0</v>
      </c>
      <c r="Q36" s="38" t="e">
        <f t="shared" si="3"/>
        <v>#VALUE!</v>
      </c>
      <c r="R36" s="38"/>
      <c r="S36" s="38"/>
      <c r="T36" s="38" t="e">
        <f t="shared" si="26"/>
        <v>#N/A</v>
      </c>
      <c r="U36" s="38" t="e">
        <f t="shared" si="4"/>
        <v>#N/A</v>
      </c>
      <c r="V36" s="38"/>
      <c r="W36" s="38" t="e">
        <f t="shared" si="45"/>
        <v>#N/A</v>
      </c>
      <c r="X36" s="38"/>
      <c r="Y36" s="58"/>
      <c r="Z36" s="38"/>
      <c r="AA36" s="65"/>
      <c r="AB36" s="33"/>
      <c r="AC36" s="41">
        <f t="shared" si="27"/>
        <v>0</v>
      </c>
      <c r="AD36" s="6" t="e">
        <f t="shared" si="28"/>
        <v>#N/A</v>
      </c>
      <c r="AE36" s="6" t="e">
        <f t="shared" si="29"/>
        <v>#N/A</v>
      </c>
      <c r="AF36" s="6" t="e">
        <f t="shared" si="30"/>
        <v>#N/A</v>
      </c>
      <c r="AG36" s="43">
        <f t="shared" si="31"/>
        <v>0</v>
      </c>
      <c r="AH36" s="43" t="e">
        <f t="shared" si="32"/>
        <v>#N/A</v>
      </c>
      <c r="AI36" s="43" t="e">
        <f t="shared" si="33"/>
        <v>#N/A</v>
      </c>
      <c r="AJ36" s="125">
        <f t="shared" si="46"/>
        <v>0</v>
      </c>
      <c r="AL36" s="41">
        <f t="shared" si="6"/>
        <v>0</v>
      </c>
      <c r="AM36" s="41">
        <f t="shared" si="47"/>
        <v>0</v>
      </c>
      <c r="AN36" s="41">
        <f t="shared" si="48"/>
        <v>0</v>
      </c>
      <c r="AO36" s="41">
        <f t="shared" si="49"/>
        <v>0</v>
      </c>
      <c r="AP36" s="153">
        <f t="shared" si="34"/>
        <v>0</v>
      </c>
      <c r="AQ36" s="41">
        <f t="shared" si="50"/>
        <v>0</v>
      </c>
      <c r="AR36" s="41">
        <f t="shared" si="51"/>
        <v>0</v>
      </c>
      <c r="AS36" s="41">
        <f t="shared" si="67"/>
        <v>0</v>
      </c>
      <c r="AT36" s="45">
        <f t="shared" si="35"/>
        <v>0</v>
      </c>
      <c r="AU36" s="68" t="e">
        <f t="shared" si="36"/>
        <v>#VALUE!</v>
      </c>
      <c r="AV36" s="41" t="e">
        <f t="shared" si="7"/>
        <v>#VALUE!</v>
      </c>
      <c r="AW36" s="41" t="e">
        <f t="shared" si="8"/>
        <v>#VALUE!</v>
      </c>
      <c r="AX36" s="41" t="e">
        <f t="shared" si="9"/>
        <v>#VALUE!</v>
      </c>
      <c r="AY36" s="41" t="e">
        <f t="shared" si="37"/>
        <v>#VALUE!</v>
      </c>
      <c r="AZ36" s="11">
        <f t="shared" si="53"/>
        <v>0</v>
      </c>
      <c r="BA36" s="25">
        <f t="shared" si="38"/>
        <v>0</v>
      </c>
      <c r="BB36" s="25">
        <f t="shared" si="10"/>
        <v>0</v>
      </c>
      <c r="BC36" s="25">
        <f t="shared" si="11"/>
        <v>0</v>
      </c>
      <c r="BD36" s="25">
        <f t="shared" si="12"/>
        <v>0</v>
      </c>
      <c r="BE36" s="25">
        <f t="shared" si="13"/>
        <v>0</v>
      </c>
      <c r="BF36" s="25">
        <f t="shared" si="14"/>
        <v>0</v>
      </c>
      <c r="BG36" s="25">
        <f t="shared" si="15"/>
        <v>0</v>
      </c>
      <c r="BH36" s="25">
        <f t="shared" si="16"/>
        <v>0</v>
      </c>
      <c r="BI36" s="25">
        <f t="shared" si="17"/>
        <v>0</v>
      </c>
      <c r="BJ36" s="25">
        <f t="shared" si="18"/>
        <v>0</v>
      </c>
      <c r="BK36" s="25">
        <f t="shared" si="39"/>
        <v>0</v>
      </c>
      <c r="BM36" s="25" t="e">
        <f t="shared" si="40"/>
        <v>#VALUE!</v>
      </c>
      <c r="BN36" s="25" t="e">
        <f t="shared" si="41"/>
        <v>#VALUE!</v>
      </c>
      <c r="BO36" s="25" t="e">
        <f t="shared" si="54"/>
        <v>#N/A</v>
      </c>
      <c r="BP36" s="25" t="e">
        <f t="shared" si="19"/>
        <v>#N/A</v>
      </c>
      <c r="BQ36" s="46" t="e">
        <f t="shared" si="20"/>
        <v>#VALUE!</v>
      </c>
      <c r="BS36" s="122">
        <f t="shared" si="59"/>
        <v>7</v>
      </c>
      <c r="BT36" s="122">
        <f t="shared" si="59"/>
        <v>8</v>
      </c>
      <c r="BU36" s="154" t="str">
        <f t="shared" si="42"/>
        <v>x</v>
      </c>
      <c r="BV36" s="155" t="str">
        <f t="shared" si="43"/>
        <v/>
      </c>
    </row>
    <row r="37" spans="1:74" ht="36" customHeight="1" x14ac:dyDescent="0.45">
      <c r="A37" s="178">
        <v>21</v>
      </c>
      <c r="B37" s="179"/>
      <c r="C37" s="179"/>
      <c r="D37" s="179"/>
      <c r="E37" s="179"/>
      <c r="F37" s="179"/>
      <c r="H37" s="148" t="str">
        <f t="shared" si="2"/>
        <v/>
      </c>
      <c r="I37" s="31" t="str">
        <f t="shared" si="55"/>
        <v/>
      </c>
      <c r="J37" s="32" t="str">
        <f t="shared" si="21"/>
        <v/>
      </c>
      <c r="K37" s="31" t="str">
        <f t="shared" si="44"/>
        <v/>
      </c>
      <c r="L37" s="151" t="str">
        <f t="shared" si="65"/>
        <v/>
      </c>
      <c r="M37" s="146">
        <f t="shared" si="23"/>
        <v>0</v>
      </c>
      <c r="N37" s="2" t="str">
        <f t="shared" si="24"/>
        <v/>
      </c>
      <c r="O37" s="38"/>
      <c r="P37" s="38">
        <f t="shared" si="25"/>
        <v>0</v>
      </c>
      <c r="Q37" s="38" t="e">
        <f t="shared" si="3"/>
        <v>#VALUE!</v>
      </c>
      <c r="R37" s="38"/>
      <c r="S37" s="38"/>
      <c r="T37" s="38" t="e">
        <f t="shared" si="26"/>
        <v>#N/A</v>
      </c>
      <c r="U37" s="38" t="e">
        <f t="shared" si="4"/>
        <v>#N/A</v>
      </c>
      <c r="V37" s="38"/>
      <c r="W37" s="38" t="e">
        <f t="shared" si="45"/>
        <v>#N/A</v>
      </c>
      <c r="X37" s="38"/>
      <c r="Y37" s="58"/>
      <c r="Z37" s="38"/>
      <c r="AA37" s="65"/>
      <c r="AB37" s="33"/>
      <c r="AC37" s="41">
        <f t="shared" si="27"/>
        <v>0</v>
      </c>
      <c r="AD37" s="6" t="e">
        <f t="shared" si="28"/>
        <v>#N/A</v>
      </c>
      <c r="AE37" s="6" t="e">
        <f t="shared" si="29"/>
        <v>#N/A</v>
      </c>
      <c r="AF37" s="6" t="e">
        <f t="shared" si="30"/>
        <v>#N/A</v>
      </c>
      <c r="AG37" s="43">
        <f t="shared" si="31"/>
        <v>0</v>
      </c>
      <c r="AH37" s="43" t="e">
        <f t="shared" si="32"/>
        <v>#N/A</v>
      </c>
      <c r="AI37" s="43" t="e">
        <f t="shared" si="33"/>
        <v>#N/A</v>
      </c>
      <c r="AJ37" s="125">
        <f t="shared" si="46"/>
        <v>0</v>
      </c>
      <c r="AL37" s="41">
        <f t="shared" si="6"/>
        <v>0</v>
      </c>
      <c r="AM37" s="41">
        <f t="shared" si="47"/>
        <v>0</v>
      </c>
      <c r="AN37" s="41">
        <f t="shared" si="48"/>
        <v>0</v>
      </c>
      <c r="AO37" s="41">
        <f t="shared" si="49"/>
        <v>0</v>
      </c>
      <c r="AP37" s="153">
        <f t="shared" si="34"/>
        <v>0</v>
      </c>
      <c r="AQ37" s="41">
        <f t="shared" si="50"/>
        <v>0</v>
      </c>
      <c r="AR37" s="41">
        <f t="shared" si="51"/>
        <v>0</v>
      </c>
      <c r="AS37" s="41">
        <f t="shared" si="67"/>
        <v>0</v>
      </c>
      <c r="AT37" s="45">
        <f t="shared" si="35"/>
        <v>0</v>
      </c>
      <c r="AU37" s="68" t="e">
        <f t="shared" si="36"/>
        <v>#VALUE!</v>
      </c>
      <c r="AV37" s="41" t="e">
        <f t="shared" si="7"/>
        <v>#VALUE!</v>
      </c>
      <c r="AW37" s="41" t="e">
        <f t="shared" si="8"/>
        <v>#VALUE!</v>
      </c>
      <c r="AX37" s="41" t="e">
        <f t="shared" si="9"/>
        <v>#VALUE!</v>
      </c>
      <c r="AY37" s="41" t="e">
        <f t="shared" si="37"/>
        <v>#VALUE!</v>
      </c>
      <c r="AZ37" s="11">
        <f t="shared" si="53"/>
        <v>0</v>
      </c>
      <c r="BA37" s="25">
        <f t="shared" si="38"/>
        <v>0</v>
      </c>
      <c r="BB37" s="25">
        <f t="shared" si="10"/>
        <v>0</v>
      </c>
      <c r="BC37" s="25">
        <f t="shared" si="11"/>
        <v>0</v>
      </c>
      <c r="BD37" s="25">
        <f t="shared" si="12"/>
        <v>0</v>
      </c>
      <c r="BE37" s="25">
        <f t="shared" si="13"/>
        <v>0</v>
      </c>
      <c r="BF37" s="25">
        <f t="shared" si="14"/>
        <v>0</v>
      </c>
      <c r="BG37" s="25">
        <f t="shared" si="15"/>
        <v>0</v>
      </c>
      <c r="BH37" s="25">
        <f t="shared" si="16"/>
        <v>0</v>
      </c>
      <c r="BI37" s="25">
        <f t="shared" si="17"/>
        <v>0</v>
      </c>
      <c r="BJ37" s="25">
        <f t="shared" si="18"/>
        <v>0</v>
      </c>
      <c r="BK37" s="25">
        <f t="shared" si="39"/>
        <v>0</v>
      </c>
      <c r="BM37" s="25" t="e">
        <f t="shared" si="40"/>
        <v>#VALUE!</v>
      </c>
      <c r="BN37" s="25" t="e">
        <f t="shared" si="41"/>
        <v>#VALUE!</v>
      </c>
      <c r="BO37" s="25" t="e">
        <f t="shared" si="54"/>
        <v>#N/A</v>
      </c>
      <c r="BP37" s="25" t="e">
        <f t="shared" si="19"/>
        <v>#N/A</v>
      </c>
      <c r="BQ37" s="46" t="e">
        <f t="shared" si="20"/>
        <v>#VALUE!</v>
      </c>
      <c r="BS37" s="122">
        <f t="shared" si="59"/>
        <v>7</v>
      </c>
      <c r="BT37" s="122">
        <f t="shared" si="59"/>
        <v>8</v>
      </c>
      <c r="BU37" s="154" t="str">
        <f t="shared" si="42"/>
        <v>x</v>
      </c>
      <c r="BV37" s="155" t="str">
        <f t="shared" ref="BV37" si="70">IF(ISBLANK(INDEX(B$17:B$42,BS37)),BV36,$BV$15)</f>
        <v/>
      </c>
    </row>
    <row r="38" spans="1:74" ht="36" customHeight="1" x14ac:dyDescent="0.45">
      <c r="A38" s="180">
        <v>22</v>
      </c>
      <c r="B38" s="181"/>
      <c r="C38" s="182"/>
      <c r="D38" s="182"/>
      <c r="E38" s="181"/>
      <c r="F38" s="181"/>
      <c r="H38" s="148" t="str">
        <f t="shared" si="2"/>
        <v/>
      </c>
      <c r="I38" s="31" t="str">
        <f t="shared" si="55"/>
        <v/>
      </c>
      <c r="J38" s="32" t="str">
        <f t="shared" si="21"/>
        <v/>
      </c>
      <c r="K38" s="31" t="str">
        <f t="shared" si="44"/>
        <v/>
      </c>
      <c r="L38" s="151" t="str">
        <f t="shared" si="65"/>
        <v/>
      </c>
      <c r="M38" s="146">
        <f t="shared" si="23"/>
        <v>0</v>
      </c>
      <c r="N38" s="2" t="str">
        <f t="shared" si="24"/>
        <v/>
      </c>
      <c r="O38" s="38"/>
      <c r="P38" s="38">
        <f t="shared" si="25"/>
        <v>0</v>
      </c>
      <c r="Q38" s="38" t="e">
        <f t="shared" si="3"/>
        <v>#VALUE!</v>
      </c>
      <c r="R38" s="38"/>
      <c r="S38" s="38"/>
      <c r="T38" s="38" t="e">
        <f t="shared" si="26"/>
        <v>#N/A</v>
      </c>
      <c r="U38" s="38" t="e">
        <f t="shared" si="4"/>
        <v>#N/A</v>
      </c>
      <c r="V38" s="38"/>
      <c r="W38" s="38" t="e">
        <f t="shared" si="45"/>
        <v>#N/A</v>
      </c>
      <c r="X38" s="38"/>
      <c r="Y38" s="58"/>
      <c r="Z38" s="38"/>
      <c r="AA38" s="65"/>
      <c r="AB38" s="33"/>
      <c r="AC38" s="41">
        <f t="shared" si="27"/>
        <v>0</v>
      </c>
      <c r="AD38" s="6" t="e">
        <f t="shared" si="28"/>
        <v>#N/A</v>
      </c>
      <c r="AE38" s="6" t="e">
        <f t="shared" si="29"/>
        <v>#N/A</v>
      </c>
      <c r="AF38" s="6" t="e">
        <f t="shared" si="30"/>
        <v>#N/A</v>
      </c>
      <c r="AG38" s="43">
        <f t="shared" si="31"/>
        <v>0</v>
      </c>
      <c r="AH38" s="43" t="e">
        <f t="shared" si="32"/>
        <v>#N/A</v>
      </c>
      <c r="AI38" s="43" t="e">
        <f t="shared" si="33"/>
        <v>#N/A</v>
      </c>
      <c r="AJ38" s="125">
        <f t="shared" si="46"/>
        <v>0</v>
      </c>
      <c r="AL38" s="41">
        <f t="shared" si="6"/>
        <v>0</v>
      </c>
      <c r="AM38" s="41">
        <f t="shared" si="47"/>
        <v>0</v>
      </c>
      <c r="AN38" s="41">
        <f t="shared" si="48"/>
        <v>0</v>
      </c>
      <c r="AO38" s="41">
        <f t="shared" si="49"/>
        <v>0</v>
      </c>
      <c r="AP38" s="153">
        <f t="shared" si="34"/>
        <v>0</v>
      </c>
      <c r="AQ38" s="41">
        <f t="shared" si="50"/>
        <v>0</v>
      </c>
      <c r="AR38" s="41">
        <f t="shared" si="51"/>
        <v>0</v>
      </c>
      <c r="AS38" s="41">
        <f t="shared" si="67"/>
        <v>0</v>
      </c>
      <c r="AT38" s="45">
        <f t="shared" si="35"/>
        <v>0</v>
      </c>
      <c r="AU38" s="68" t="e">
        <f t="shared" si="36"/>
        <v>#VALUE!</v>
      </c>
      <c r="AV38" s="41" t="e">
        <f t="shared" si="7"/>
        <v>#VALUE!</v>
      </c>
      <c r="AW38" s="41" t="e">
        <f t="shared" si="8"/>
        <v>#VALUE!</v>
      </c>
      <c r="AX38" s="41" t="e">
        <f t="shared" si="9"/>
        <v>#VALUE!</v>
      </c>
      <c r="AY38" s="41" t="e">
        <f t="shared" si="37"/>
        <v>#VALUE!</v>
      </c>
      <c r="AZ38" s="11">
        <f t="shared" si="53"/>
        <v>0</v>
      </c>
      <c r="BA38" s="25">
        <f t="shared" si="38"/>
        <v>0</v>
      </c>
      <c r="BB38" s="25">
        <f t="shared" si="10"/>
        <v>0</v>
      </c>
      <c r="BC38" s="25">
        <f t="shared" si="11"/>
        <v>0</v>
      </c>
      <c r="BD38" s="25">
        <f t="shared" si="12"/>
        <v>0</v>
      </c>
      <c r="BE38" s="25">
        <f t="shared" si="13"/>
        <v>0</v>
      </c>
      <c r="BF38" s="25">
        <f t="shared" si="14"/>
        <v>0</v>
      </c>
      <c r="BG38" s="25">
        <f t="shared" si="15"/>
        <v>0</v>
      </c>
      <c r="BH38" s="25">
        <f t="shared" si="16"/>
        <v>0</v>
      </c>
      <c r="BI38" s="25">
        <f t="shared" si="17"/>
        <v>0</v>
      </c>
      <c r="BJ38" s="25">
        <f t="shared" si="18"/>
        <v>0</v>
      </c>
      <c r="BK38" s="25">
        <f t="shared" si="39"/>
        <v>0</v>
      </c>
      <c r="BM38" s="25" t="e">
        <f t="shared" si="40"/>
        <v>#VALUE!</v>
      </c>
      <c r="BN38" s="25" t="e">
        <f t="shared" si="41"/>
        <v>#VALUE!</v>
      </c>
      <c r="BO38" s="25" t="e">
        <f t="shared" si="54"/>
        <v>#N/A</v>
      </c>
      <c r="BP38" s="25" t="e">
        <f t="shared" si="19"/>
        <v>#N/A</v>
      </c>
      <c r="BQ38" s="46" t="e">
        <f t="shared" si="20"/>
        <v>#VALUE!</v>
      </c>
      <c r="BS38" s="122">
        <f t="shared" si="59"/>
        <v>8</v>
      </c>
      <c r="BT38" s="122">
        <f t="shared" si="59"/>
        <v>7</v>
      </c>
      <c r="BU38" s="154" t="str">
        <f t="shared" si="42"/>
        <v>x</v>
      </c>
      <c r="BV38" s="155" t="str">
        <f t="shared" ref="BV38" si="71">INDEX(N$17:N$42,BS38)</f>
        <v/>
      </c>
    </row>
    <row r="39" spans="1:74" ht="36" customHeight="1" x14ac:dyDescent="0.45">
      <c r="A39" s="178">
        <v>23</v>
      </c>
      <c r="B39" s="179"/>
      <c r="C39" s="179"/>
      <c r="D39" s="179"/>
      <c r="E39" s="179"/>
      <c r="F39" s="179"/>
      <c r="H39" s="148" t="str">
        <f t="shared" si="2"/>
        <v/>
      </c>
      <c r="I39" s="31" t="str">
        <f t="shared" si="55"/>
        <v/>
      </c>
      <c r="J39" s="32" t="str">
        <f t="shared" si="21"/>
        <v/>
      </c>
      <c r="K39" s="31" t="str">
        <f t="shared" si="44"/>
        <v/>
      </c>
      <c r="L39" s="151" t="str">
        <f t="shared" si="65"/>
        <v/>
      </c>
      <c r="M39" s="146">
        <f t="shared" si="23"/>
        <v>0</v>
      </c>
      <c r="N39" s="2" t="str">
        <f t="shared" si="24"/>
        <v/>
      </c>
      <c r="O39" s="38"/>
      <c r="P39" s="38">
        <f t="shared" si="25"/>
        <v>0</v>
      </c>
      <c r="Q39" s="38" t="e">
        <f t="shared" si="3"/>
        <v>#VALUE!</v>
      </c>
      <c r="R39" s="38"/>
      <c r="S39" s="38"/>
      <c r="T39" s="38" t="e">
        <f t="shared" si="26"/>
        <v>#N/A</v>
      </c>
      <c r="U39" s="38" t="e">
        <f t="shared" si="4"/>
        <v>#N/A</v>
      </c>
      <c r="V39" s="38"/>
      <c r="W39" s="38" t="e">
        <f t="shared" si="45"/>
        <v>#N/A</v>
      </c>
      <c r="X39" s="38"/>
      <c r="Y39" s="58"/>
      <c r="Z39" s="38"/>
      <c r="AA39" s="65"/>
      <c r="AB39" s="33"/>
      <c r="AC39" s="41">
        <f t="shared" si="27"/>
        <v>0</v>
      </c>
      <c r="AD39" s="6" t="e">
        <f t="shared" si="28"/>
        <v>#N/A</v>
      </c>
      <c r="AE39" s="6" t="e">
        <f t="shared" si="29"/>
        <v>#N/A</v>
      </c>
      <c r="AF39" s="6" t="e">
        <f t="shared" si="30"/>
        <v>#N/A</v>
      </c>
      <c r="AG39" s="43">
        <f t="shared" si="31"/>
        <v>0</v>
      </c>
      <c r="AH39" s="43" t="e">
        <f t="shared" si="32"/>
        <v>#N/A</v>
      </c>
      <c r="AI39" s="43" t="e">
        <f t="shared" si="33"/>
        <v>#N/A</v>
      </c>
      <c r="AJ39" s="125">
        <f t="shared" si="46"/>
        <v>0</v>
      </c>
      <c r="AL39" s="41">
        <f t="shared" si="6"/>
        <v>0</v>
      </c>
      <c r="AM39" s="41">
        <f t="shared" si="47"/>
        <v>0</v>
      </c>
      <c r="AN39" s="41">
        <f t="shared" si="48"/>
        <v>0</v>
      </c>
      <c r="AO39" s="41">
        <f t="shared" si="49"/>
        <v>0</v>
      </c>
      <c r="AP39" s="153">
        <f t="shared" si="34"/>
        <v>0</v>
      </c>
      <c r="AQ39" s="41">
        <f t="shared" si="50"/>
        <v>0</v>
      </c>
      <c r="AR39" s="41">
        <f t="shared" si="51"/>
        <v>0</v>
      </c>
      <c r="AS39" s="41">
        <f t="shared" si="67"/>
        <v>0</v>
      </c>
      <c r="AT39" s="45">
        <f t="shared" si="35"/>
        <v>0</v>
      </c>
      <c r="AU39" s="68" t="e">
        <f t="shared" si="36"/>
        <v>#VALUE!</v>
      </c>
      <c r="AV39" s="41" t="e">
        <f t="shared" si="7"/>
        <v>#VALUE!</v>
      </c>
      <c r="AW39" s="41" t="e">
        <f t="shared" si="8"/>
        <v>#VALUE!</v>
      </c>
      <c r="AX39" s="41" t="e">
        <f t="shared" si="9"/>
        <v>#VALUE!</v>
      </c>
      <c r="AY39" s="41" t="e">
        <f t="shared" si="37"/>
        <v>#VALUE!</v>
      </c>
      <c r="AZ39" s="11">
        <f t="shared" si="53"/>
        <v>0</v>
      </c>
      <c r="BA39" s="25">
        <f t="shared" si="38"/>
        <v>0</v>
      </c>
      <c r="BB39" s="25">
        <f t="shared" si="10"/>
        <v>0</v>
      </c>
      <c r="BC39" s="25">
        <f t="shared" si="11"/>
        <v>0</v>
      </c>
      <c r="BD39" s="25">
        <f t="shared" si="12"/>
        <v>0</v>
      </c>
      <c r="BE39" s="25">
        <f t="shared" si="13"/>
        <v>0</v>
      </c>
      <c r="BF39" s="25">
        <f t="shared" si="14"/>
        <v>0</v>
      </c>
      <c r="BG39" s="25">
        <f t="shared" si="15"/>
        <v>0</v>
      </c>
      <c r="BH39" s="25">
        <f t="shared" si="16"/>
        <v>0</v>
      </c>
      <c r="BI39" s="25">
        <f t="shared" si="17"/>
        <v>0</v>
      </c>
      <c r="BJ39" s="25">
        <f t="shared" si="18"/>
        <v>0</v>
      </c>
      <c r="BK39" s="25">
        <f t="shared" si="39"/>
        <v>0</v>
      </c>
      <c r="BM39" s="25" t="e">
        <f t="shared" si="40"/>
        <v>#VALUE!</v>
      </c>
      <c r="BN39" s="25" t="e">
        <f t="shared" si="41"/>
        <v>#VALUE!</v>
      </c>
      <c r="BO39" s="25" t="e">
        <f t="shared" si="54"/>
        <v>#N/A</v>
      </c>
      <c r="BP39" s="25" t="e">
        <f t="shared" si="19"/>
        <v>#N/A</v>
      </c>
      <c r="BQ39" s="46" t="e">
        <f t="shared" si="20"/>
        <v>#VALUE!</v>
      </c>
      <c r="BS39" s="122">
        <f t="shared" si="59"/>
        <v>8</v>
      </c>
      <c r="BT39" s="122">
        <f t="shared" si="59"/>
        <v>9</v>
      </c>
      <c r="BU39" s="154" t="str">
        <f t="shared" si="42"/>
        <v>x</v>
      </c>
      <c r="BV39" s="155" t="str">
        <f t="shared" si="43"/>
        <v/>
      </c>
    </row>
    <row r="40" spans="1:74" ht="36" customHeight="1" x14ac:dyDescent="0.45">
      <c r="A40" s="180">
        <v>24</v>
      </c>
      <c r="B40" s="181"/>
      <c r="C40" s="181"/>
      <c r="D40" s="181"/>
      <c r="E40" s="181"/>
      <c r="F40" s="181"/>
      <c r="H40" s="148" t="str">
        <f t="shared" si="2"/>
        <v/>
      </c>
      <c r="I40" s="31" t="str">
        <f t="shared" si="55"/>
        <v/>
      </c>
      <c r="J40" s="32" t="str">
        <f t="shared" si="21"/>
        <v/>
      </c>
      <c r="K40" s="31" t="str">
        <f t="shared" si="44"/>
        <v/>
      </c>
      <c r="L40" s="151" t="str">
        <f t="shared" si="65"/>
        <v/>
      </c>
      <c r="M40" s="146">
        <f t="shared" si="23"/>
        <v>0</v>
      </c>
      <c r="N40" s="2" t="str">
        <f t="shared" si="24"/>
        <v/>
      </c>
      <c r="O40" s="38"/>
      <c r="P40" s="38">
        <f t="shared" si="25"/>
        <v>0</v>
      </c>
      <c r="Q40" s="38" t="e">
        <f t="shared" si="3"/>
        <v>#VALUE!</v>
      </c>
      <c r="R40" s="38"/>
      <c r="S40" s="38"/>
      <c r="T40" s="38" t="e">
        <f t="shared" si="26"/>
        <v>#N/A</v>
      </c>
      <c r="U40" s="38" t="e">
        <f t="shared" si="4"/>
        <v>#N/A</v>
      </c>
      <c r="V40" s="38"/>
      <c r="W40" s="38" t="e">
        <f t="shared" si="45"/>
        <v>#N/A</v>
      </c>
      <c r="X40" s="38"/>
      <c r="Y40" s="58"/>
      <c r="Z40" s="38"/>
      <c r="AA40" s="65"/>
      <c r="AB40" s="33"/>
      <c r="AC40" s="41">
        <f t="shared" si="27"/>
        <v>0</v>
      </c>
      <c r="AD40" s="6" t="e">
        <f t="shared" si="28"/>
        <v>#N/A</v>
      </c>
      <c r="AE40" s="6" t="e">
        <f t="shared" si="29"/>
        <v>#N/A</v>
      </c>
      <c r="AF40" s="6" t="e">
        <f t="shared" si="30"/>
        <v>#N/A</v>
      </c>
      <c r="AG40" s="43">
        <f t="shared" si="31"/>
        <v>0</v>
      </c>
      <c r="AH40" s="43" t="e">
        <f t="shared" si="32"/>
        <v>#N/A</v>
      </c>
      <c r="AI40" s="43" t="e">
        <f t="shared" si="33"/>
        <v>#N/A</v>
      </c>
      <c r="AJ40" s="125">
        <f t="shared" si="46"/>
        <v>0</v>
      </c>
      <c r="AL40" s="41">
        <f t="shared" si="6"/>
        <v>0</v>
      </c>
      <c r="AM40" s="41">
        <f t="shared" si="47"/>
        <v>0</v>
      </c>
      <c r="AN40" s="41">
        <f t="shared" si="48"/>
        <v>0</v>
      </c>
      <c r="AO40" s="41">
        <f t="shared" si="49"/>
        <v>0</v>
      </c>
      <c r="AP40" s="153">
        <f t="shared" si="34"/>
        <v>0</v>
      </c>
      <c r="AQ40" s="41">
        <f t="shared" si="50"/>
        <v>0</v>
      </c>
      <c r="AR40" s="41">
        <f t="shared" si="51"/>
        <v>0</v>
      </c>
      <c r="AS40" s="41">
        <f t="shared" si="52"/>
        <v>0</v>
      </c>
      <c r="AT40" s="45">
        <f t="shared" si="35"/>
        <v>0</v>
      </c>
      <c r="AU40" s="68" t="e">
        <f t="shared" si="36"/>
        <v>#VALUE!</v>
      </c>
      <c r="AV40" s="41" t="e">
        <f t="shared" si="7"/>
        <v>#VALUE!</v>
      </c>
      <c r="AW40" s="41" t="e">
        <f t="shared" si="8"/>
        <v>#VALUE!</v>
      </c>
      <c r="AX40" s="41" t="e">
        <f t="shared" si="9"/>
        <v>#VALUE!</v>
      </c>
      <c r="AY40" s="41" t="e">
        <f t="shared" si="37"/>
        <v>#VALUE!</v>
      </c>
      <c r="AZ40" s="11">
        <f t="shared" si="53"/>
        <v>0</v>
      </c>
      <c r="BA40" s="25">
        <f t="shared" si="38"/>
        <v>0</v>
      </c>
      <c r="BB40" s="25">
        <f t="shared" si="10"/>
        <v>0</v>
      </c>
      <c r="BC40" s="25">
        <f t="shared" si="11"/>
        <v>0</v>
      </c>
      <c r="BD40" s="25">
        <f t="shared" si="12"/>
        <v>0</v>
      </c>
      <c r="BE40" s="25">
        <f t="shared" si="13"/>
        <v>0</v>
      </c>
      <c r="BF40" s="25">
        <f t="shared" si="14"/>
        <v>0</v>
      </c>
      <c r="BG40" s="25">
        <f t="shared" si="15"/>
        <v>0</v>
      </c>
      <c r="BH40" s="25">
        <f t="shared" si="16"/>
        <v>0</v>
      </c>
      <c r="BI40" s="25">
        <f t="shared" si="17"/>
        <v>0</v>
      </c>
      <c r="BJ40" s="25">
        <f t="shared" si="18"/>
        <v>0</v>
      </c>
      <c r="BK40" s="25">
        <f t="shared" si="39"/>
        <v>0</v>
      </c>
      <c r="BM40" s="25" t="e">
        <f t="shared" si="40"/>
        <v>#VALUE!</v>
      </c>
      <c r="BN40" s="25" t="e">
        <f t="shared" si="41"/>
        <v>#VALUE!</v>
      </c>
      <c r="BO40" s="25" t="e">
        <f t="shared" si="54"/>
        <v>#N/A</v>
      </c>
      <c r="BP40" s="25" t="e">
        <f t="shared" si="19"/>
        <v>#N/A</v>
      </c>
      <c r="BQ40" s="46" t="e">
        <f t="shared" si="20"/>
        <v>#VALUE!</v>
      </c>
      <c r="BS40" s="122">
        <f t="shared" si="59"/>
        <v>8</v>
      </c>
      <c r="BT40" s="122">
        <f t="shared" si="59"/>
        <v>9</v>
      </c>
      <c r="BU40" s="154" t="str">
        <f t="shared" si="42"/>
        <v>x</v>
      </c>
      <c r="BV40" s="155" t="str">
        <f t="shared" ref="BV40" si="72">IF(ISBLANK(INDEX(B$17:B$42,BS40)),BV39,$BV$15)</f>
        <v/>
      </c>
    </row>
    <row r="41" spans="1:74" ht="36" customHeight="1" x14ac:dyDescent="0.45">
      <c r="A41" s="178">
        <v>25</v>
      </c>
      <c r="B41" s="179"/>
      <c r="C41" s="179"/>
      <c r="D41" s="179"/>
      <c r="E41" s="179"/>
      <c r="F41" s="179"/>
      <c r="H41" s="148" t="str">
        <f t="shared" si="2"/>
        <v/>
      </c>
      <c r="I41" s="31" t="str">
        <f t="shared" si="55"/>
        <v/>
      </c>
      <c r="J41" s="32" t="str">
        <f t="shared" si="21"/>
        <v/>
      </c>
      <c r="K41" s="31" t="str">
        <f t="shared" si="44"/>
        <v/>
      </c>
      <c r="L41" s="151" t="str">
        <f t="shared" si="65"/>
        <v/>
      </c>
      <c r="M41" s="146">
        <f t="shared" si="23"/>
        <v>0</v>
      </c>
      <c r="N41" s="2" t="str">
        <f t="shared" si="24"/>
        <v/>
      </c>
      <c r="O41" s="38"/>
      <c r="P41" s="38">
        <f t="shared" si="25"/>
        <v>0</v>
      </c>
      <c r="Q41" s="38" t="e">
        <f t="shared" si="3"/>
        <v>#VALUE!</v>
      </c>
      <c r="R41" s="38"/>
      <c r="S41" s="38"/>
      <c r="T41" s="38" t="e">
        <f t="shared" si="26"/>
        <v>#N/A</v>
      </c>
      <c r="U41" s="38" t="e">
        <f t="shared" si="4"/>
        <v>#N/A</v>
      </c>
      <c r="V41" s="38"/>
      <c r="W41" s="38" t="e">
        <f t="shared" si="45"/>
        <v>#N/A</v>
      </c>
      <c r="X41" s="38"/>
      <c r="Y41" s="58"/>
      <c r="Z41" s="38"/>
      <c r="AA41" s="65"/>
      <c r="AB41" s="33"/>
      <c r="AC41" s="41">
        <f t="shared" si="27"/>
        <v>0</v>
      </c>
      <c r="AD41" s="6" t="e">
        <f t="shared" si="28"/>
        <v>#N/A</v>
      </c>
      <c r="AE41" s="6" t="e">
        <f t="shared" si="29"/>
        <v>#N/A</v>
      </c>
      <c r="AF41" s="6" t="e">
        <f t="shared" si="30"/>
        <v>#N/A</v>
      </c>
      <c r="AG41" s="43">
        <f t="shared" si="31"/>
        <v>0</v>
      </c>
      <c r="AH41" s="43" t="e">
        <f t="shared" si="32"/>
        <v>#N/A</v>
      </c>
      <c r="AI41" s="43" t="e">
        <f t="shared" si="33"/>
        <v>#N/A</v>
      </c>
      <c r="AJ41" s="125">
        <f t="shared" si="46"/>
        <v>0</v>
      </c>
      <c r="AL41" s="41">
        <f t="shared" si="6"/>
        <v>0</v>
      </c>
      <c r="AM41" s="41">
        <f t="shared" si="47"/>
        <v>0</v>
      </c>
      <c r="AN41" s="41">
        <f t="shared" si="48"/>
        <v>0</v>
      </c>
      <c r="AO41" s="41">
        <f t="shared" si="49"/>
        <v>0</v>
      </c>
      <c r="AP41" s="153">
        <f t="shared" si="34"/>
        <v>0</v>
      </c>
      <c r="AQ41" s="41">
        <f t="shared" si="50"/>
        <v>0</v>
      </c>
      <c r="AR41" s="41">
        <f t="shared" si="51"/>
        <v>0</v>
      </c>
      <c r="AS41" s="41">
        <f t="shared" si="52"/>
        <v>0</v>
      </c>
      <c r="AT41" s="45">
        <f t="shared" si="35"/>
        <v>0</v>
      </c>
      <c r="AU41" s="68" t="e">
        <f t="shared" si="36"/>
        <v>#VALUE!</v>
      </c>
      <c r="AV41" s="41" t="e">
        <f t="shared" si="7"/>
        <v>#VALUE!</v>
      </c>
      <c r="AW41" s="41" t="e">
        <f t="shared" si="8"/>
        <v>#VALUE!</v>
      </c>
      <c r="AX41" s="41" t="e">
        <f t="shared" si="9"/>
        <v>#VALUE!</v>
      </c>
      <c r="AY41" s="41" t="e">
        <f t="shared" si="37"/>
        <v>#VALUE!</v>
      </c>
      <c r="AZ41" s="11">
        <f t="shared" si="53"/>
        <v>0</v>
      </c>
      <c r="BA41" s="25">
        <f t="shared" si="38"/>
        <v>0</v>
      </c>
      <c r="BB41" s="25">
        <f t="shared" si="10"/>
        <v>0</v>
      </c>
      <c r="BC41" s="25">
        <f t="shared" si="11"/>
        <v>0</v>
      </c>
      <c r="BD41" s="25">
        <f t="shared" si="12"/>
        <v>0</v>
      </c>
      <c r="BE41" s="25">
        <f t="shared" si="13"/>
        <v>0</v>
      </c>
      <c r="BF41" s="25">
        <f t="shared" si="14"/>
        <v>0</v>
      </c>
      <c r="BG41" s="25">
        <f t="shared" si="15"/>
        <v>0</v>
      </c>
      <c r="BH41" s="25">
        <f t="shared" si="16"/>
        <v>0</v>
      </c>
      <c r="BI41" s="25">
        <f t="shared" si="17"/>
        <v>0</v>
      </c>
      <c r="BJ41" s="25">
        <f t="shared" si="18"/>
        <v>0</v>
      </c>
      <c r="BK41" s="25">
        <f t="shared" si="39"/>
        <v>0</v>
      </c>
      <c r="BM41" s="25" t="e">
        <f t="shared" si="40"/>
        <v>#VALUE!</v>
      </c>
      <c r="BN41" s="25" t="e">
        <f t="shared" si="41"/>
        <v>#VALUE!</v>
      </c>
      <c r="BO41" s="25" t="e">
        <f t="shared" si="54"/>
        <v>#N/A</v>
      </c>
      <c r="BP41" s="25" t="e">
        <f t="shared" si="19"/>
        <v>#N/A</v>
      </c>
      <c r="BQ41" s="46" t="e">
        <f t="shared" si="20"/>
        <v>#VALUE!</v>
      </c>
      <c r="BS41" s="122">
        <f t="shared" ref="BS41:BT56" si="73">BS38+1</f>
        <v>9</v>
      </c>
      <c r="BT41" s="122">
        <f t="shared" si="73"/>
        <v>8</v>
      </c>
      <c r="BU41" s="154" t="str">
        <f t="shared" si="42"/>
        <v>x</v>
      </c>
      <c r="BV41" s="155" t="str">
        <f t="shared" ref="BV41" si="74">INDEX(N$17:N$42,BS41)</f>
        <v/>
      </c>
    </row>
    <row r="42" spans="1:74" ht="36" customHeight="1" x14ac:dyDescent="0.45">
      <c r="A42" s="180">
        <v>26</v>
      </c>
      <c r="B42" s="181"/>
      <c r="C42" s="181"/>
      <c r="D42" s="181"/>
      <c r="E42" s="181"/>
      <c r="F42" s="181"/>
      <c r="H42" s="148" t="str">
        <f t="shared" si="2"/>
        <v/>
      </c>
      <c r="I42" s="31" t="str">
        <f t="shared" si="55"/>
        <v/>
      </c>
      <c r="J42" s="32" t="str">
        <f t="shared" si="21"/>
        <v/>
      </c>
      <c r="K42" s="31" t="str">
        <f t="shared" si="44"/>
        <v/>
      </c>
      <c r="L42" s="151" t="str">
        <f t="shared" si="65"/>
        <v/>
      </c>
      <c r="M42" s="146">
        <f t="shared" si="23"/>
        <v>0</v>
      </c>
      <c r="N42" s="2" t="str">
        <f t="shared" si="24"/>
        <v/>
      </c>
      <c r="O42" s="38"/>
      <c r="P42" s="38">
        <f>B18</f>
        <v>0</v>
      </c>
      <c r="Q42" s="38" t="e">
        <f t="shared" si="3"/>
        <v>#VALUE!</v>
      </c>
      <c r="R42" s="38"/>
      <c r="S42" s="38"/>
      <c r="T42" s="38" t="e">
        <f>LOOKUP(2,1/(D17:D42&lt;&gt;""),B17:B42)</f>
        <v>#N/A</v>
      </c>
      <c r="U42" s="38" t="e">
        <f t="shared" si="4"/>
        <v>#N/A</v>
      </c>
      <c r="V42" s="38"/>
      <c r="W42" s="38" t="e">
        <f t="shared" si="45"/>
        <v>#N/A</v>
      </c>
      <c r="X42" s="38"/>
      <c r="Y42" s="58"/>
      <c r="Z42" s="38"/>
      <c r="AA42" s="65"/>
      <c r="AB42" s="33"/>
      <c r="AC42" s="41">
        <f t="shared" si="27"/>
        <v>0</v>
      </c>
      <c r="AD42" s="6" t="e">
        <f t="shared" si="28"/>
        <v>#N/A</v>
      </c>
      <c r="AE42" s="6" t="e">
        <f t="shared" si="29"/>
        <v>#N/A</v>
      </c>
      <c r="AF42" s="6" t="e">
        <f t="shared" si="30"/>
        <v>#N/A</v>
      </c>
      <c r="AG42" s="43">
        <f t="shared" si="31"/>
        <v>0</v>
      </c>
      <c r="AH42" s="43" t="e">
        <f t="shared" si="32"/>
        <v>#N/A</v>
      </c>
      <c r="AI42" s="43" t="e">
        <f t="shared" si="33"/>
        <v>#N/A</v>
      </c>
      <c r="AJ42" s="125">
        <f t="shared" si="46"/>
        <v>0</v>
      </c>
      <c r="AL42" s="41">
        <f t="shared" si="6"/>
        <v>0</v>
      </c>
      <c r="AM42" s="41">
        <f t="shared" si="47"/>
        <v>0</v>
      </c>
      <c r="AN42" s="41">
        <f t="shared" si="48"/>
        <v>0</v>
      </c>
      <c r="AO42" s="41">
        <f t="shared" si="49"/>
        <v>0</v>
      </c>
      <c r="AP42" s="153">
        <f t="shared" si="34"/>
        <v>0</v>
      </c>
      <c r="AQ42" s="41">
        <f t="shared" si="50"/>
        <v>0</v>
      </c>
      <c r="AR42" s="41">
        <f t="shared" si="51"/>
        <v>0</v>
      </c>
      <c r="AS42" s="41">
        <f t="shared" si="52"/>
        <v>0</v>
      </c>
      <c r="AT42" s="45">
        <f t="shared" si="35"/>
        <v>0</v>
      </c>
      <c r="AU42" s="68" t="e">
        <f t="shared" si="36"/>
        <v>#VALUE!</v>
      </c>
      <c r="AV42" s="41" t="e">
        <f t="shared" si="7"/>
        <v>#VALUE!</v>
      </c>
      <c r="AW42" s="41" t="e">
        <f t="shared" si="8"/>
        <v>#VALUE!</v>
      </c>
      <c r="AX42" s="41" t="e">
        <f t="shared" si="9"/>
        <v>#VALUE!</v>
      </c>
      <c r="AY42" s="41" t="e">
        <f t="shared" si="37"/>
        <v>#VALUE!</v>
      </c>
      <c r="AZ42" s="11">
        <f t="shared" si="53"/>
        <v>0</v>
      </c>
      <c r="BA42" s="25">
        <f t="shared" si="38"/>
        <v>0</v>
      </c>
      <c r="BB42" s="25">
        <f t="shared" si="10"/>
        <v>0</v>
      </c>
      <c r="BC42" s="25">
        <f t="shared" si="11"/>
        <v>0</v>
      </c>
      <c r="BD42" s="25">
        <f t="shared" si="12"/>
        <v>0</v>
      </c>
      <c r="BE42" s="25">
        <f t="shared" si="13"/>
        <v>0</v>
      </c>
      <c r="BF42" s="25">
        <f t="shared" si="14"/>
        <v>0</v>
      </c>
      <c r="BG42" s="25">
        <f t="shared" si="15"/>
        <v>0</v>
      </c>
      <c r="BH42" s="25">
        <f t="shared" si="16"/>
        <v>0</v>
      </c>
      <c r="BI42" s="25">
        <f t="shared" si="17"/>
        <v>0</v>
      </c>
      <c r="BJ42" s="25">
        <f t="shared" si="18"/>
        <v>0</v>
      </c>
      <c r="BK42" s="25">
        <f t="shared" si="39"/>
        <v>0</v>
      </c>
      <c r="BM42" s="25" t="e">
        <f t="shared" si="40"/>
        <v>#VALUE!</v>
      </c>
      <c r="BN42" s="25" t="e">
        <f t="shared" si="41"/>
        <v>#VALUE!</v>
      </c>
      <c r="BO42" s="25" t="e">
        <f t="shared" si="54"/>
        <v>#N/A</v>
      </c>
      <c r="BP42" s="25" t="e">
        <f t="shared" si="19"/>
        <v>#N/A</v>
      </c>
      <c r="BQ42" s="46" t="e">
        <f t="shared" si="20"/>
        <v>#VALUE!</v>
      </c>
      <c r="BS42" s="122">
        <f t="shared" si="73"/>
        <v>9</v>
      </c>
      <c r="BT42" s="122">
        <f t="shared" si="73"/>
        <v>10</v>
      </c>
      <c r="BU42" s="154" t="str">
        <f t="shared" si="42"/>
        <v>x</v>
      </c>
      <c r="BV42" s="155" t="str">
        <f t="shared" si="43"/>
        <v/>
      </c>
    </row>
    <row r="43" spans="1:74" x14ac:dyDescent="0.35">
      <c r="L43" s="46"/>
      <c r="BS43" s="122">
        <f t="shared" si="73"/>
        <v>9</v>
      </c>
      <c r="BT43" s="122">
        <f t="shared" si="73"/>
        <v>10</v>
      </c>
      <c r="BU43" s="154" t="str">
        <f t="shared" si="42"/>
        <v>x</v>
      </c>
      <c r="BV43" s="155" t="str">
        <f t="shared" ref="BV43" si="75">IF(ISBLANK(INDEX(B$17:B$42,BS43)),BV42,$BV$15)</f>
        <v/>
      </c>
    </row>
    <row r="44" spans="1:74" x14ac:dyDescent="0.35">
      <c r="L44" s="46"/>
      <c r="BS44" s="122">
        <f t="shared" si="73"/>
        <v>10</v>
      </c>
      <c r="BT44" s="122">
        <f t="shared" si="73"/>
        <v>9</v>
      </c>
      <c r="BU44" s="154" t="str">
        <f t="shared" si="42"/>
        <v>x</v>
      </c>
      <c r="BV44" s="155" t="str">
        <f t="shared" ref="BV44" si="76">INDEX(N$17:N$42,BS44)</f>
        <v/>
      </c>
    </row>
    <row r="45" spans="1:74" x14ac:dyDescent="0.35">
      <c r="L45" s="46"/>
      <c r="BS45" s="122">
        <f t="shared" si="73"/>
        <v>10</v>
      </c>
      <c r="BT45" s="122">
        <f t="shared" si="73"/>
        <v>11</v>
      </c>
      <c r="BU45" s="154" t="str">
        <f t="shared" si="42"/>
        <v>x</v>
      </c>
      <c r="BV45" s="155" t="str">
        <f t="shared" si="43"/>
        <v/>
      </c>
    </row>
    <row r="46" spans="1:74" x14ac:dyDescent="0.35">
      <c r="L46" s="46"/>
      <c r="BS46" s="122">
        <f t="shared" si="73"/>
        <v>10</v>
      </c>
      <c r="BT46" s="122">
        <f t="shared" si="73"/>
        <v>11</v>
      </c>
      <c r="BU46" s="154" t="str">
        <f t="shared" si="42"/>
        <v>x</v>
      </c>
      <c r="BV46" s="155" t="str">
        <f t="shared" ref="BV46" si="77">IF(ISBLANK(INDEX(B$17:B$42,BS46)),BV45,$BV$15)</f>
        <v/>
      </c>
    </row>
    <row r="47" spans="1:74" x14ac:dyDescent="0.35">
      <c r="L47" s="46"/>
      <c r="BS47" s="122">
        <f t="shared" si="73"/>
        <v>11</v>
      </c>
      <c r="BT47" s="122">
        <f t="shared" si="73"/>
        <v>10</v>
      </c>
      <c r="BU47" s="154" t="str">
        <f t="shared" si="42"/>
        <v>x</v>
      </c>
      <c r="BV47" s="155" t="str">
        <f t="shared" ref="BV47" si="78">INDEX(N$17:N$42,BS47)</f>
        <v/>
      </c>
    </row>
    <row r="48" spans="1:74" x14ac:dyDescent="0.35">
      <c r="L48" s="46"/>
      <c r="BS48" s="122">
        <f t="shared" si="73"/>
        <v>11</v>
      </c>
      <c r="BT48" s="122">
        <f t="shared" si="73"/>
        <v>12</v>
      </c>
      <c r="BU48" s="154" t="str">
        <f t="shared" si="42"/>
        <v>x</v>
      </c>
      <c r="BV48" s="155" t="str">
        <f t="shared" si="43"/>
        <v/>
      </c>
    </row>
    <row r="49" spans="12:74" x14ac:dyDescent="0.35">
      <c r="L49" s="46"/>
      <c r="BS49" s="122">
        <f t="shared" si="73"/>
        <v>11</v>
      </c>
      <c r="BT49" s="122">
        <f t="shared" si="73"/>
        <v>12</v>
      </c>
      <c r="BU49" s="154" t="str">
        <f t="shared" si="42"/>
        <v>x</v>
      </c>
      <c r="BV49" s="155" t="str">
        <f t="shared" ref="BV49" si="79">IF(ISBLANK(INDEX(B$17:B$42,BS49)),BV48,$BV$15)</f>
        <v/>
      </c>
    </row>
    <row r="50" spans="12:74" x14ac:dyDescent="0.35">
      <c r="L50" s="46"/>
      <c r="BS50" s="122">
        <f t="shared" si="73"/>
        <v>12</v>
      </c>
      <c r="BT50" s="122">
        <f t="shared" si="73"/>
        <v>11</v>
      </c>
      <c r="BU50" s="154" t="str">
        <f t="shared" si="42"/>
        <v>x</v>
      </c>
      <c r="BV50" s="155" t="str">
        <f t="shared" ref="BV50" si="80">INDEX(N$17:N$42,BS50)</f>
        <v/>
      </c>
    </row>
    <row r="51" spans="12:74" x14ac:dyDescent="0.35">
      <c r="L51" s="46"/>
      <c r="BS51" s="122">
        <f t="shared" si="73"/>
        <v>12</v>
      </c>
      <c r="BT51" s="122">
        <f t="shared" si="73"/>
        <v>13</v>
      </c>
      <c r="BU51" s="154" t="str">
        <f t="shared" si="42"/>
        <v>x</v>
      </c>
      <c r="BV51" s="155" t="str">
        <f t="shared" si="43"/>
        <v/>
      </c>
    </row>
    <row r="52" spans="12:74" x14ac:dyDescent="0.35">
      <c r="L52" s="46"/>
      <c r="BS52" s="122">
        <f t="shared" si="73"/>
        <v>12</v>
      </c>
      <c r="BT52" s="122">
        <f t="shared" si="73"/>
        <v>13</v>
      </c>
      <c r="BU52" s="154" t="str">
        <f t="shared" si="42"/>
        <v>x</v>
      </c>
      <c r="BV52" s="155" t="str">
        <f t="shared" ref="BV52" si="81">IF(ISBLANK(INDEX(B$17:B$42,BS52)),BV51,$BV$15)</f>
        <v/>
      </c>
    </row>
    <row r="53" spans="12:74" x14ac:dyDescent="0.35">
      <c r="L53" s="46"/>
      <c r="BS53" s="122">
        <f t="shared" si="73"/>
        <v>13</v>
      </c>
      <c r="BT53" s="122">
        <f t="shared" si="73"/>
        <v>12</v>
      </c>
      <c r="BU53" s="154" t="str">
        <f t="shared" si="42"/>
        <v>x</v>
      </c>
      <c r="BV53" s="155" t="str">
        <f t="shared" ref="BV53" si="82">INDEX(N$17:N$42,BS53)</f>
        <v/>
      </c>
    </row>
    <row r="54" spans="12:74" x14ac:dyDescent="0.35">
      <c r="L54" s="46"/>
      <c r="BS54" s="122">
        <f t="shared" si="73"/>
        <v>13</v>
      </c>
      <c r="BT54" s="122">
        <f t="shared" si="73"/>
        <v>14</v>
      </c>
      <c r="BU54" s="154" t="str">
        <f t="shared" si="42"/>
        <v>x</v>
      </c>
      <c r="BV54" s="155" t="str">
        <f t="shared" si="43"/>
        <v/>
      </c>
    </row>
    <row r="55" spans="12:74" x14ac:dyDescent="0.35">
      <c r="L55" s="46"/>
      <c r="BS55" s="122">
        <f t="shared" si="73"/>
        <v>13</v>
      </c>
      <c r="BT55" s="122">
        <f t="shared" si="73"/>
        <v>14</v>
      </c>
      <c r="BU55" s="154" t="str">
        <f t="shared" si="42"/>
        <v>x</v>
      </c>
      <c r="BV55" s="155" t="str">
        <f t="shared" ref="BV55" si="83">IF(ISBLANK(INDEX(B$17:B$42,BS55)),BV54,$BV$15)</f>
        <v/>
      </c>
    </row>
    <row r="56" spans="12:74" x14ac:dyDescent="0.35">
      <c r="L56" s="46"/>
      <c r="BS56" s="122">
        <f t="shared" si="73"/>
        <v>14</v>
      </c>
      <c r="BT56" s="122">
        <f t="shared" si="73"/>
        <v>13</v>
      </c>
      <c r="BU56" s="154" t="str">
        <f t="shared" si="42"/>
        <v>x</v>
      </c>
      <c r="BV56" s="155" t="str">
        <f t="shared" ref="BV56" si="84">INDEX(N$17:N$42,BS56)</f>
        <v/>
      </c>
    </row>
    <row r="57" spans="12:74" x14ac:dyDescent="0.35">
      <c r="L57" s="46"/>
      <c r="BS57" s="122">
        <f t="shared" ref="BS57:BT72" si="85">BS54+1</f>
        <v>14</v>
      </c>
      <c r="BT57" s="122">
        <f t="shared" si="85"/>
        <v>15</v>
      </c>
      <c r="BU57" s="154" t="str">
        <f t="shared" si="42"/>
        <v>x</v>
      </c>
      <c r="BV57" s="155" t="str">
        <f t="shared" si="43"/>
        <v/>
      </c>
    </row>
    <row r="58" spans="12:74" x14ac:dyDescent="0.35">
      <c r="L58" s="46"/>
      <c r="BS58" s="122">
        <f t="shared" si="85"/>
        <v>14</v>
      </c>
      <c r="BT58" s="122">
        <f t="shared" si="85"/>
        <v>15</v>
      </c>
      <c r="BU58" s="154" t="str">
        <f t="shared" si="42"/>
        <v>x</v>
      </c>
      <c r="BV58" s="155" t="str">
        <f t="shared" ref="BV58" si="86">IF(ISBLANK(INDEX(B$17:B$42,BS58)),BV57,$BV$15)</f>
        <v/>
      </c>
    </row>
    <row r="59" spans="12:74" x14ac:dyDescent="0.35">
      <c r="L59" s="46"/>
      <c r="BS59" s="122">
        <f t="shared" si="85"/>
        <v>15</v>
      </c>
      <c r="BT59" s="122">
        <f t="shared" si="85"/>
        <v>14</v>
      </c>
      <c r="BU59" s="154" t="str">
        <f t="shared" si="42"/>
        <v>x</v>
      </c>
      <c r="BV59" s="155" t="str">
        <f t="shared" ref="BV59" si="87">INDEX(N$17:N$42,BS59)</f>
        <v/>
      </c>
    </row>
    <row r="60" spans="12:74" x14ac:dyDescent="0.35">
      <c r="L60" s="46"/>
      <c r="BS60" s="122">
        <f t="shared" si="85"/>
        <v>15</v>
      </c>
      <c r="BT60" s="122">
        <f t="shared" si="85"/>
        <v>16</v>
      </c>
      <c r="BU60" s="154" t="str">
        <f t="shared" si="42"/>
        <v>x</v>
      </c>
      <c r="BV60" s="155" t="str">
        <f t="shared" si="43"/>
        <v/>
      </c>
    </row>
    <row r="61" spans="12:74" x14ac:dyDescent="0.35">
      <c r="L61" s="46"/>
      <c r="BS61" s="122">
        <f t="shared" si="85"/>
        <v>15</v>
      </c>
      <c r="BT61" s="122">
        <f t="shared" si="85"/>
        <v>16</v>
      </c>
      <c r="BU61" s="154" t="str">
        <f t="shared" si="42"/>
        <v>x</v>
      </c>
      <c r="BV61" s="155" t="str">
        <f t="shared" ref="BV61" si="88">IF(ISBLANK(INDEX(B$17:B$42,BS61)),BV60,$BV$15)</f>
        <v/>
      </c>
    </row>
    <row r="62" spans="12:74" x14ac:dyDescent="0.35">
      <c r="L62" s="46"/>
      <c r="BS62" s="122">
        <f t="shared" si="85"/>
        <v>16</v>
      </c>
      <c r="BT62" s="122">
        <f t="shared" si="85"/>
        <v>15</v>
      </c>
      <c r="BU62" s="154" t="str">
        <f t="shared" si="42"/>
        <v>x</v>
      </c>
      <c r="BV62" s="155" t="str">
        <f>INDEX(N$17:N$42,BS62)</f>
        <v/>
      </c>
    </row>
    <row r="63" spans="12:74" x14ac:dyDescent="0.35">
      <c r="L63" s="46"/>
      <c r="BS63" s="122">
        <f t="shared" si="85"/>
        <v>16</v>
      </c>
      <c r="BT63" s="122">
        <f t="shared" si="85"/>
        <v>17</v>
      </c>
      <c r="BU63" s="154" t="str">
        <f t="shared" si="42"/>
        <v>x</v>
      </c>
      <c r="BV63" s="155" t="str">
        <f t="shared" si="43"/>
        <v/>
      </c>
    </row>
    <row r="64" spans="12:74" x14ac:dyDescent="0.35">
      <c r="L64" s="46"/>
      <c r="BS64" s="122">
        <f t="shared" si="85"/>
        <v>16</v>
      </c>
      <c r="BT64" s="122">
        <f t="shared" si="85"/>
        <v>17</v>
      </c>
      <c r="BU64" s="154" t="str">
        <f t="shared" si="42"/>
        <v>x</v>
      </c>
      <c r="BV64" s="155" t="str">
        <f>IF(ISBLANK(INDEX(B$17:B$42,BS64)),BV63,$BV$15)</f>
        <v/>
      </c>
    </row>
    <row r="65" spans="12:74" x14ac:dyDescent="0.35">
      <c r="L65" s="46"/>
      <c r="BS65" s="122">
        <f t="shared" si="85"/>
        <v>17</v>
      </c>
      <c r="BT65" s="122">
        <f t="shared" si="85"/>
        <v>16</v>
      </c>
      <c r="BU65" s="154" t="str">
        <f t="shared" si="42"/>
        <v>x</v>
      </c>
      <c r="BV65" s="155" t="str">
        <f t="shared" ref="BV65" si="89">INDEX(N$17:N$42,BS65)</f>
        <v/>
      </c>
    </row>
    <row r="66" spans="12:74" x14ac:dyDescent="0.35">
      <c r="L66" s="46"/>
      <c r="BS66" s="122">
        <f t="shared" si="85"/>
        <v>17</v>
      </c>
      <c r="BT66" s="122">
        <f t="shared" si="85"/>
        <v>18</v>
      </c>
      <c r="BU66" s="154" t="str">
        <f t="shared" si="42"/>
        <v>x</v>
      </c>
      <c r="BV66" s="155" t="str">
        <f t="shared" si="43"/>
        <v/>
      </c>
    </row>
    <row r="67" spans="12:74" x14ac:dyDescent="0.35">
      <c r="L67" s="46"/>
      <c r="BS67" s="122">
        <f t="shared" si="85"/>
        <v>17</v>
      </c>
      <c r="BT67" s="122">
        <f t="shared" si="85"/>
        <v>18</v>
      </c>
      <c r="BU67" s="154" t="str">
        <f t="shared" si="42"/>
        <v>x</v>
      </c>
      <c r="BV67" s="155" t="str">
        <f t="shared" ref="BV67" si="90">IF(ISBLANK(INDEX(B$17:B$42,BS67)),BV66,$BV$15)</f>
        <v/>
      </c>
    </row>
    <row r="68" spans="12:74" x14ac:dyDescent="0.35">
      <c r="L68" s="46"/>
      <c r="BS68" s="122">
        <f t="shared" si="85"/>
        <v>18</v>
      </c>
      <c r="BT68" s="122">
        <f t="shared" si="85"/>
        <v>17</v>
      </c>
      <c r="BU68" s="154" t="str">
        <f t="shared" si="42"/>
        <v>x</v>
      </c>
      <c r="BV68" s="155" t="str">
        <f t="shared" ref="BV68" si="91">INDEX(N$17:N$42,BS68)</f>
        <v/>
      </c>
    </row>
    <row r="69" spans="12:74" x14ac:dyDescent="0.35">
      <c r="L69" s="46"/>
      <c r="BS69" s="122">
        <f t="shared" si="85"/>
        <v>18</v>
      </c>
      <c r="BT69" s="122">
        <f t="shared" si="85"/>
        <v>19</v>
      </c>
      <c r="BU69" s="154" t="str">
        <f t="shared" si="42"/>
        <v>x</v>
      </c>
      <c r="BV69" s="155" t="str">
        <f t="shared" si="43"/>
        <v/>
      </c>
    </row>
    <row r="70" spans="12:74" x14ac:dyDescent="0.35">
      <c r="L70" s="46"/>
      <c r="BS70" s="122">
        <f t="shared" si="85"/>
        <v>18</v>
      </c>
      <c r="BT70" s="122">
        <f t="shared" si="85"/>
        <v>19</v>
      </c>
      <c r="BU70" s="154" t="str">
        <f t="shared" si="42"/>
        <v>x</v>
      </c>
      <c r="BV70" s="155" t="str">
        <f t="shared" ref="BV70" si="92">IF(ISBLANK(INDEX(B$17:B$42,BS70)),BV69,$BV$15)</f>
        <v/>
      </c>
    </row>
    <row r="71" spans="12:74" x14ac:dyDescent="0.35">
      <c r="L71" s="46"/>
      <c r="BS71" s="122">
        <f t="shared" si="85"/>
        <v>19</v>
      </c>
      <c r="BT71" s="122">
        <f t="shared" si="85"/>
        <v>18</v>
      </c>
      <c r="BU71" s="154" t="str">
        <f t="shared" si="42"/>
        <v>x</v>
      </c>
      <c r="BV71" s="155" t="str">
        <f t="shared" ref="BV71" si="93">INDEX(N$17:N$42,BS71)</f>
        <v/>
      </c>
    </row>
    <row r="72" spans="12:74" x14ac:dyDescent="0.35">
      <c r="L72" s="46"/>
      <c r="BS72" s="122">
        <f t="shared" si="85"/>
        <v>19</v>
      </c>
      <c r="BT72" s="122">
        <f t="shared" si="85"/>
        <v>20</v>
      </c>
      <c r="BU72" s="154" t="str">
        <f t="shared" si="42"/>
        <v>x</v>
      </c>
      <c r="BV72" s="155" t="str">
        <f t="shared" si="43"/>
        <v/>
      </c>
    </row>
    <row r="73" spans="12:74" x14ac:dyDescent="0.35">
      <c r="L73" s="46"/>
      <c r="BS73" s="122">
        <f t="shared" ref="BS73:BT88" si="94">BS70+1</f>
        <v>19</v>
      </c>
      <c r="BT73" s="122">
        <f t="shared" si="94"/>
        <v>20</v>
      </c>
      <c r="BU73" s="154" t="str">
        <f t="shared" si="42"/>
        <v>x</v>
      </c>
      <c r="BV73" s="155" t="str">
        <f t="shared" ref="BV73" si="95">IF(ISBLANK(INDEX(B$17:B$42,BS73)),BV72,$BV$15)</f>
        <v/>
      </c>
    </row>
    <row r="74" spans="12:74" x14ac:dyDescent="0.35">
      <c r="L74" s="46"/>
      <c r="BS74" s="122">
        <f t="shared" si="94"/>
        <v>20</v>
      </c>
      <c r="BT74" s="122">
        <f t="shared" si="94"/>
        <v>19</v>
      </c>
      <c r="BU74" s="154" t="str">
        <f t="shared" si="42"/>
        <v>x</v>
      </c>
      <c r="BV74" s="155" t="str">
        <f t="shared" ref="BV74" si="96">INDEX(N$17:N$42,BS74)</f>
        <v/>
      </c>
    </row>
    <row r="75" spans="12:74" x14ac:dyDescent="0.35">
      <c r="L75" s="46"/>
      <c r="BS75" s="122">
        <f t="shared" si="94"/>
        <v>20</v>
      </c>
      <c r="BT75" s="122">
        <f t="shared" si="94"/>
        <v>21</v>
      </c>
      <c r="BU75" s="154" t="str">
        <f t="shared" si="42"/>
        <v>x</v>
      </c>
      <c r="BV75" s="155" t="str">
        <f t="shared" si="43"/>
        <v/>
      </c>
    </row>
    <row r="76" spans="12:74" x14ac:dyDescent="0.35">
      <c r="L76" s="46"/>
      <c r="BS76" s="122">
        <f t="shared" si="94"/>
        <v>20</v>
      </c>
      <c r="BT76" s="122">
        <f t="shared" si="94"/>
        <v>21</v>
      </c>
      <c r="BU76" s="154" t="str">
        <f t="shared" si="42"/>
        <v>x</v>
      </c>
      <c r="BV76" s="155" t="str">
        <f t="shared" ref="BV76" si="97">IF(ISBLANK(INDEX(B$17:B$42,BS76)),BV75,$BV$15)</f>
        <v/>
      </c>
    </row>
    <row r="77" spans="12:74" x14ac:dyDescent="0.35">
      <c r="L77" s="46"/>
      <c r="BS77" s="122">
        <f t="shared" si="94"/>
        <v>21</v>
      </c>
      <c r="BT77" s="122">
        <f t="shared" si="94"/>
        <v>20</v>
      </c>
      <c r="BU77" s="154" t="str">
        <f t="shared" si="42"/>
        <v>x</v>
      </c>
      <c r="BV77" s="155" t="str">
        <f t="shared" ref="BV77" si="98">INDEX(N$17:N$42,BS77)</f>
        <v/>
      </c>
    </row>
    <row r="78" spans="12:74" x14ac:dyDescent="0.35">
      <c r="L78" s="46"/>
      <c r="BS78" s="122">
        <f t="shared" si="94"/>
        <v>21</v>
      </c>
      <c r="BT78" s="122">
        <f t="shared" si="94"/>
        <v>22</v>
      </c>
      <c r="BU78" s="154" t="str">
        <f t="shared" si="42"/>
        <v>x</v>
      </c>
      <c r="BV78" s="155" t="str">
        <f t="shared" si="43"/>
        <v/>
      </c>
    </row>
    <row r="79" spans="12:74" x14ac:dyDescent="0.35">
      <c r="L79" s="46"/>
      <c r="BS79" s="122">
        <f t="shared" si="94"/>
        <v>21</v>
      </c>
      <c r="BT79" s="122">
        <f t="shared" si="94"/>
        <v>22</v>
      </c>
      <c r="BU79" s="154" t="str">
        <f t="shared" si="42"/>
        <v>x</v>
      </c>
      <c r="BV79" s="155" t="str">
        <f t="shared" ref="BV79" si="99">IF(ISBLANK(INDEX(B$17:B$42,BS79)),BV78,$BV$15)</f>
        <v/>
      </c>
    </row>
    <row r="80" spans="12:74" x14ac:dyDescent="0.35">
      <c r="L80" s="46"/>
      <c r="BS80" s="122">
        <f t="shared" si="94"/>
        <v>22</v>
      </c>
      <c r="BT80" s="122">
        <f t="shared" si="94"/>
        <v>21</v>
      </c>
      <c r="BU80" s="154" t="str">
        <f t="shared" si="42"/>
        <v>x</v>
      </c>
      <c r="BV80" s="155" t="str">
        <f t="shared" ref="BV80" si="100">INDEX(N$17:N$42,BS80)</f>
        <v/>
      </c>
    </row>
    <row r="81" spans="12:74" x14ac:dyDescent="0.35">
      <c r="L81" s="46"/>
      <c r="BS81" s="122">
        <f t="shared" si="94"/>
        <v>22</v>
      </c>
      <c r="BT81" s="122">
        <f t="shared" si="94"/>
        <v>23</v>
      </c>
      <c r="BU81" s="154" t="str">
        <f t="shared" si="42"/>
        <v>x</v>
      </c>
      <c r="BV81" s="155" t="str">
        <f t="shared" si="43"/>
        <v/>
      </c>
    </row>
    <row r="82" spans="12:74" x14ac:dyDescent="0.35">
      <c r="L82" s="46"/>
      <c r="BS82" s="122">
        <f t="shared" si="94"/>
        <v>22</v>
      </c>
      <c r="BT82" s="122">
        <f t="shared" si="94"/>
        <v>23</v>
      </c>
      <c r="BU82" s="154" t="str">
        <f t="shared" ref="BU82:BU93" si="101">IF(ISNUMBER(BV82),IF(OR(ISBLANK(INDEX(B$17:B$43,BS82)),ISBLANK(INDEX(B$17:B$43,BT82))),INDEX(B$17:B$43,BS82),(INDEX(B$17:B$43,BS82)+INDEX(B$17:B$43,BT82))/2),BU81)</f>
        <v>x</v>
      </c>
      <c r="BV82" s="155" t="str">
        <f t="shared" ref="BV82" si="102">IF(ISBLANK(INDEX(B$17:B$42,BS82)),BV81,$BV$15)</f>
        <v/>
      </c>
    </row>
    <row r="83" spans="12:74" x14ac:dyDescent="0.35">
      <c r="L83" s="46"/>
      <c r="BS83" s="122">
        <f t="shared" si="94"/>
        <v>23</v>
      </c>
      <c r="BT83" s="122">
        <f t="shared" si="94"/>
        <v>22</v>
      </c>
      <c r="BU83" s="154" t="str">
        <f t="shared" si="101"/>
        <v>x</v>
      </c>
      <c r="BV83" s="155" t="str">
        <f t="shared" ref="BV83:BV93" si="103">INDEX(N$17:N$42,BS83)</f>
        <v/>
      </c>
    </row>
    <row r="84" spans="12:74" x14ac:dyDescent="0.35">
      <c r="L84" s="46"/>
      <c r="BS84" s="122">
        <f t="shared" si="94"/>
        <v>23</v>
      </c>
      <c r="BT84" s="122">
        <f t="shared" si="94"/>
        <v>24</v>
      </c>
      <c r="BU84" s="154" t="str">
        <f t="shared" si="101"/>
        <v>x</v>
      </c>
      <c r="BV84" s="155" t="str">
        <f t="shared" si="103"/>
        <v/>
      </c>
    </row>
    <row r="85" spans="12:74" x14ac:dyDescent="0.35">
      <c r="L85" s="46"/>
      <c r="BS85" s="122">
        <f t="shared" si="94"/>
        <v>23</v>
      </c>
      <c r="BT85" s="122">
        <f t="shared" si="94"/>
        <v>24</v>
      </c>
      <c r="BU85" s="154" t="str">
        <f t="shared" si="101"/>
        <v>x</v>
      </c>
      <c r="BV85" s="155" t="str">
        <f t="shared" ref="BV85" si="104">IF(ISBLANK(INDEX(B$17:B$42,BS85)),BV84,$BV$15)</f>
        <v/>
      </c>
    </row>
    <row r="86" spans="12:74" x14ac:dyDescent="0.35">
      <c r="L86" s="46"/>
      <c r="BS86" s="122">
        <f t="shared" si="94"/>
        <v>24</v>
      </c>
      <c r="BT86" s="122">
        <f t="shared" si="94"/>
        <v>23</v>
      </c>
      <c r="BU86" s="154" t="str">
        <f t="shared" si="101"/>
        <v>x</v>
      </c>
      <c r="BV86" s="155" t="str">
        <f t="shared" ref="BV86" si="105">INDEX(N$17:N$42,BS86)</f>
        <v/>
      </c>
    </row>
    <row r="87" spans="12:74" x14ac:dyDescent="0.35">
      <c r="L87" s="46"/>
      <c r="BS87" s="122">
        <f t="shared" si="94"/>
        <v>24</v>
      </c>
      <c r="BT87" s="122">
        <f t="shared" si="94"/>
        <v>25</v>
      </c>
      <c r="BU87" s="154" t="str">
        <f t="shared" si="101"/>
        <v>x</v>
      </c>
      <c r="BV87" s="155" t="str">
        <f t="shared" si="103"/>
        <v/>
      </c>
    </row>
    <row r="88" spans="12:74" x14ac:dyDescent="0.35">
      <c r="L88" s="46"/>
      <c r="BS88" s="122">
        <f t="shared" si="94"/>
        <v>24</v>
      </c>
      <c r="BT88" s="122">
        <f t="shared" si="94"/>
        <v>25</v>
      </c>
      <c r="BU88" s="154" t="str">
        <f t="shared" si="101"/>
        <v>x</v>
      </c>
      <c r="BV88" s="155" t="str">
        <f t="shared" ref="BV88" si="106">IF(ISBLANK(INDEX(B$17:B$42,BS88)),BV87,$BV$15)</f>
        <v/>
      </c>
    </row>
    <row r="89" spans="12:74" x14ac:dyDescent="0.35">
      <c r="L89" s="46"/>
      <c r="BS89" s="122">
        <f t="shared" ref="BS89:BT93" si="107">BS86+1</f>
        <v>25</v>
      </c>
      <c r="BT89" s="122">
        <f t="shared" si="107"/>
        <v>24</v>
      </c>
      <c r="BU89" s="154" t="str">
        <f t="shared" si="101"/>
        <v>x</v>
      </c>
      <c r="BV89" s="155" t="str">
        <f t="shared" ref="BV89" si="108">INDEX(N$17:N$42,BS89)</f>
        <v/>
      </c>
    </row>
    <row r="90" spans="12:74" x14ac:dyDescent="0.35">
      <c r="L90" s="46"/>
      <c r="BS90" s="122">
        <f t="shared" si="107"/>
        <v>25</v>
      </c>
      <c r="BT90" s="122">
        <f t="shared" si="107"/>
        <v>26</v>
      </c>
      <c r="BU90" s="154" t="str">
        <f t="shared" si="101"/>
        <v>x</v>
      </c>
      <c r="BV90" s="155" t="str">
        <f t="shared" si="103"/>
        <v/>
      </c>
    </row>
    <row r="91" spans="12:74" x14ac:dyDescent="0.35">
      <c r="L91" s="46"/>
      <c r="BS91" s="122">
        <f t="shared" si="107"/>
        <v>25</v>
      </c>
      <c r="BT91" s="122">
        <f t="shared" si="107"/>
        <v>26</v>
      </c>
      <c r="BU91" s="154" t="str">
        <f t="shared" si="101"/>
        <v>x</v>
      </c>
      <c r="BV91" s="155" t="str">
        <f t="shared" ref="BV91" si="109">IF(ISBLANK(INDEX(B$17:B$42,BS91)),BV90,$BV$15)</f>
        <v/>
      </c>
    </row>
    <row r="92" spans="12:74" x14ac:dyDescent="0.35">
      <c r="L92" s="46"/>
      <c r="BS92" s="122">
        <f t="shared" si="107"/>
        <v>26</v>
      </c>
      <c r="BT92" s="122">
        <f t="shared" si="107"/>
        <v>25</v>
      </c>
      <c r="BU92" s="154" t="str">
        <f t="shared" si="101"/>
        <v>x</v>
      </c>
      <c r="BV92" s="155" t="str">
        <f t="shared" ref="BV92" si="110">INDEX(N$17:N$42,BS92)</f>
        <v/>
      </c>
    </row>
    <row r="93" spans="12:74" x14ac:dyDescent="0.35">
      <c r="L93" s="46"/>
      <c r="BS93" s="122">
        <f t="shared" si="107"/>
        <v>26</v>
      </c>
      <c r="BT93" s="122">
        <f t="shared" si="107"/>
        <v>27</v>
      </c>
      <c r="BU93" s="154" t="str">
        <f t="shared" si="101"/>
        <v>x</v>
      </c>
      <c r="BV93" s="155" t="str">
        <f t="shared" si="103"/>
        <v/>
      </c>
    </row>
    <row r="94" spans="12:74" x14ac:dyDescent="0.35">
      <c r="L94" s="46"/>
      <c r="BU94" s="154"/>
      <c r="BV94" s="155"/>
    </row>
    <row r="95" spans="12:74" x14ac:dyDescent="0.35">
      <c r="L95" s="46"/>
      <c r="BU95" s="154"/>
      <c r="BV95" s="155"/>
    </row>
    <row r="96" spans="12:74" x14ac:dyDescent="0.35">
      <c r="L96" s="46"/>
      <c r="BU96" s="154"/>
      <c r="BV96" s="155"/>
    </row>
    <row r="97" spans="12:74" x14ac:dyDescent="0.35">
      <c r="L97" s="46"/>
      <c r="BU97" s="154"/>
      <c r="BV97" s="155"/>
    </row>
    <row r="98" spans="12:74" x14ac:dyDescent="0.35">
      <c r="L98" s="46"/>
      <c r="BU98" s="154"/>
      <c r="BV98" s="155"/>
    </row>
    <row r="99" spans="12:74" x14ac:dyDescent="0.35">
      <c r="L99" s="46"/>
      <c r="BU99" s="154"/>
      <c r="BV99" s="155"/>
    </row>
    <row r="100" spans="12:74" x14ac:dyDescent="0.35">
      <c r="L100" s="46"/>
      <c r="BU100" s="154"/>
      <c r="BV100" s="155"/>
    </row>
    <row r="101" spans="12:74" x14ac:dyDescent="0.35">
      <c r="L101" s="46"/>
      <c r="BU101" s="154"/>
      <c r="BV101" s="155"/>
    </row>
    <row r="102" spans="12:74" x14ac:dyDescent="0.35">
      <c r="L102" s="46"/>
      <c r="BU102" s="154"/>
      <c r="BV102" s="155"/>
    </row>
    <row r="103" spans="12:74" x14ac:dyDescent="0.35">
      <c r="L103" s="46"/>
      <c r="BU103" s="154"/>
      <c r="BV103" s="155"/>
    </row>
    <row r="104" spans="12:74" x14ac:dyDescent="0.35">
      <c r="L104" s="46"/>
      <c r="BU104" s="154"/>
      <c r="BV104" s="155"/>
    </row>
    <row r="105" spans="12:74" x14ac:dyDescent="0.35">
      <c r="L105" s="46"/>
      <c r="BU105" s="154"/>
      <c r="BV105" s="155"/>
    </row>
    <row r="106" spans="12:74" x14ac:dyDescent="0.35">
      <c r="L106" s="46"/>
      <c r="BU106" s="154"/>
      <c r="BV106" s="155"/>
    </row>
    <row r="107" spans="12:74" x14ac:dyDescent="0.35">
      <c r="L107" s="46"/>
      <c r="BU107" s="154"/>
      <c r="BV107" s="155"/>
    </row>
    <row r="108" spans="12:74" x14ac:dyDescent="0.35">
      <c r="L108" s="46"/>
      <c r="BU108" s="154"/>
      <c r="BV108" s="155"/>
    </row>
    <row r="109" spans="12:74" x14ac:dyDescent="0.35">
      <c r="L109" s="46"/>
      <c r="BU109" s="154"/>
      <c r="BV109" s="155"/>
    </row>
    <row r="110" spans="12:74" x14ac:dyDescent="0.35">
      <c r="L110" s="46"/>
      <c r="BU110" s="154"/>
      <c r="BV110" s="155"/>
    </row>
    <row r="111" spans="12:74" x14ac:dyDescent="0.35">
      <c r="L111" s="46"/>
      <c r="BU111" s="154"/>
      <c r="BV111" s="155"/>
    </row>
    <row r="112" spans="12:74" x14ac:dyDescent="0.35">
      <c r="L112" s="46"/>
      <c r="BU112" s="154"/>
      <c r="BV112" s="155"/>
    </row>
    <row r="113" spans="12:74" x14ac:dyDescent="0.35">
      <c r="L113" s="46"/>
      <c r="BU113" s="154"/>
      <c r="BV113" s="155"/>
    </row>
    <row r="114" spans="12:74" x14ac:dyDescent="0.35">
      <c r="L114" s="46"/>
      <c r="BU114" s="154"/>
      <c r="BV114" s="155"/>
    </row>
    <row r="115" spans="12:74" x14ac:dyDescent="0.35">
      <c r="L115" s="46"/>
      <c r="BU115" s="154"/>
      <c r="BV115" s="155"/>
    </row>
    <row r="116" spans="12:74" x14ac:dyDescent="0.35">
      <c r="L116" s="46"/>
      <c r="BU116" s="154"/>
      <c r="BV116" s="155"/>
    </row>
    <row r="117" spans="12:74" x14ac:dyDescent="0.35">
      <c r="L117" s="46"/>
      <c r="BU117" s="154"/>
      <c r="BV117" s="155"/>
    </row>
    <row r="118" spans="12:74" x14ac:dyDescent="0.35">
      <c r="L118" s="46"/>
      <c r="BU118" s="154"/>
      <c r="BV118" s="155"/>
    </row>
    <row r="119" spans="12:74" x14ac:dyDescent="0.35">
      <c r="L119" s="46"/>
      <c r="BU119" s="154"/>
      <c r="BV119" s="155"/>
    </row>
    <row r="120" spans="12:74" x14ac:dyDescent="0.35">
      <c r="L120" s="46"/>
      <c r="BU120" s="154"/>
      <c r="BV120" s="155"/>
    </row>
    <row r="121" spans="12:74" x14ac:dyDescent="0.35">
      <c r="L121" s="46"/>
      <c r="BU121" s="154"/>
      <c r="BV121" s="155"/>
    </row>
    <row r="122" spans="12:74" x14ac:dyDescent="0.35">
      <c r="L122" s="46"/>
      <c r="BU122" s="154"/>
      <c r="BV122" s="155"/>
    </row>
    <row r="123" spans="12:74" x14ac:dyDescent="0.35">
      <c r="L123" s="46"/>
    </row>
    <row r="124" spans="12:74" x14ac:dyDescent="0.35">
      <c r="L124" s="46"/>
    </row>
    <row r="125" spans="12:74" x14ac:dyDescent="0.35">
      <c r="L125" s="46"/>
    </row>
    <row r="126" spans="12:74" x14ac:dyDescent="0.35">
      <c r="L126" s="46"/>
    </row>
    <row r="127" spans="12:74" x14ac:dyDescent="0.35">
      <c r="L127" s="46"/>
    </row>
    <row r="128" spans="12:74" x14ac:dyDescent="0.35">
      <c r="L128" s="46"/>
    </row>
    <row r="129" spans="12:12" x14ac:dyDescent="0.35">
      <c r="L129" s="46"/>
    </row>
    <row r="130" spans="12:12" x14ac:dyDescent="0.35">
      <c r="L130" s="46"/>
    </row>
    <row r="131" spans="12:12" x14ac:dyDescent="0.35">
      <c r="L131" s="46"/>
    </row>
    <row r="132" spans="12:12" x14ac:dyDescent="0.35">
      <c r="L132" s="46"/>
    </row>
    <row r="133" spans="12:12" x14ac:dyDescent="0.35">
      <c r="L133" s="46"/>
    </row>
    <row r="134" spans="12:12" x14ac:dyDescent="0.35">
      <c r="L134" s="46"/>
    </row>
    <row r="135" spans="12:12" x14ac:dyDescent="0.35">
      <c r="L135" s="46"/>
    </row>
    <row r="136" spans="12:12" x14ac:dyDescent="0.35">
      <c r="L136" s="46"/>
    </row>
    <row r="137" spans="12:12" x14ac:dyDescent="0.35">
      <c r="L137" s="46"/>
    </row>
    <row r="138" spans="12:12" x14ac:dyDescent="0.35">
      <c r="L138" s="46"/>
    </row>
    <row r="139" spans="12:12" x14ac:dyDescent="0.35">
      <c r="L139" s="46"/>
    </row>
    <row r="140" spans="12:12" x14ac:dyDescent="0.35">
      <c r="L140" s="46"/>
    </row>
    <row r="141" spans="12:12" x14ac:dyDescent="0.35">
      <c r="L141" s="46"/>
    </row>
    <row r="142" spans="12:12" x14ac:dyDescent="0.35">
      <c r="L142" s="46"/>
    </row>
    <row r="143" spans="12:12" x14ac:dyDescent="0.35">
      <c r="L143" s="46"/>
    </row>
    <row r="144" spans="12:12" x14ac:dyDescent="0.35">
      <c r="L144" s="46"/>
    </row>
    <row r="145" spans="12:12" x14ac:dyDescent="0.35">
      <c r="L145" s="46"/>
    </row>
    <row r="146" spans="12:12" x14ac:dyDescent="0.35">
      <c r="L146" s="46"/>
    </row>
    <row r="147" spans="12:12" x14ac:dyDescent="0.35">
      <c r="L147" s="46"/>
    </row>
    <row r="148" spans="12:12" x14ac:dyDescent="0.35">
      <c r="L148" s="46"/>
    </row>
    <row r="149" spans="12:12" x14ac:dyDescent="0.35">
      <c r="L149" s="46"/>
    </row>
    <row r="150" spans="12:12" x14ac:dyDescent="0.35">
      <c r="L150" s="46"/>
    </row>
    <row r="151" spans="12:12" x14ac:dyDescent="0.35">
      <c r="L151" s="46"/>
    </row>
    <row r="152" spans="12:12" x14ac:dyDescent="0.35">
      <c r="L152" s="46"/>
    </row>
    <row r="153" spans="12:12" x14ac:dyDescent="0.35">
      <c r="L153" s="46"/>
    </row>
    <row r="154" spans="12:12" x14ac:dyDescent="0.35">
      <c r="L154" s="46"/>
    </row>
    <row r="155" spans="12:12" x14ac:dyDescent="0.35">
      <c r="L155" s="46"/>
    </row>
    <row r="156" spans="12:12" x14ac:dyDescent="0.35">
      <c r="L156" s="46"/>
    </row>
    <row r="157" spans="12:12" x14ac:dyDescent="0.35">
      <c r="L157" s="46"/>
    </row>
    <row r="158" spans="12:12" x14ac:dyDescent="0.35">
      <c r="L158" s="46"/>
    </row>
    <row r="159" spans="12:12" x14ac:dyDescent="0.35">
      <c r="L159" s="46"/>
    </row>
    <row r="160" spans="12:12" x14ac:dyDescent="0.35">
      <c r="L160" s="46"/>
    </row>
    <row r="161" spans="12:12" x14ac:dyDescent="0.35">
      <c r="L161" s="46"/>
    </row>
    <row r="162" spans="12:12" x14ac:dyDescent="0.35">
      <c r="L162" s="46"/>
    </row>
    <row r="163" spans="12:12" x14ac:dyDescent="0.35">
      <c r="L163" s="46"/>
    </row>
    <row r="164" spans="12:12" x14ac:dyDescent="0.35">
      <c r="L164" s="46"/>
    </row>
    <row r="165" spans="12:12" x14ac:dyDescent="0.35">
      <c r="L165" s="46"/>
    </row>
    <row r="166" spans="12:12" x14ac:dyDescent="0.35">
      <c r="L166" s="46"/>
    </row>
    <row r="167" spans="12:12" x14ac:dyDescent="0.35">
      <c r="L167" s="46"/>
    </row>
    <row r="168" spans="12:12" x14ac:dyDescent="0.35">
      <c r="L168" s="46"/>
    </row>
    <row r="169" spans="12:12" x14ac:dyDescent="0.35">
      <c r="L169" s="46"/>
    </row>
    <row r="170" spans="12:12" x14ac:dyDescent="0.35">
      <c r="L170" s="46"/>
    </row>
    <row r="171" spans="12:12" x14ac:dyDescent="0.35">
      <c r="L171" s="46"/>
    </row>
    <row r="172" spans="12:12" x14ac:dyDescent="0.35">
      <c r="L172" s="46"/>
    </row>
    <row r="173" spans="12:12" x14ac:dyDescent="0.35">
      <c r="L173" s="46"/>
    </row>
    <row r="174" spans="12:12" x14ac:dyDescent="0.35">
      <c r="L174" s="46"/>
    </row>
    <row r="175" spans="12:12" x14ac:dyDescent="0.35">
      <c r="L175" s="46"/>
    </row>
    <row r="176" spans="12:12" x14ac:dyDescent="0.35">
      <c r="L176" s="46"/>
    </row>
    <row r="177" spans="12:12" x14ac:dyDescent="0.35">
      <c r="L177" s="46"/>
    </row>
    <row r="178" spans="12:12" x14ac:dyDescent="0.35">
      <c r="L178" s="46"/>
    </row>
    <row r="179" spans="12:12" x14ac:dyDescent="0.35">
      <c r="L179" s="46"/>
    </row>
    <row r="180" spans="12:12" x14ac:dyDescent="0.35">
      <c r="L180" s="46"/>
    </row>
    <row r="181" spans="12:12" x14ac:dyDescent="0.35">
      <c r="L181" s="46"/>
    </row>
    <row r="182" spans="12:12" x14ac:dyDescent="0.35">
      <c r="L182" s="46"/>
    </row>
    <row r="183" spans="12:12" x14ac:dyDescent="0.35">
      <c r="L183" s="46"/>
    </row>
    <row r="184" spans="12:12" x14ac:dyDescent="0.35">
      <c r="L184" s="46"/>
    </row>
    <row r="185" spans="12:12" x14ac:dyDescent="0.35">
      <c r="L185" s="46"/>
    </row>
    <row r="186" spans="12:12" x14ac:dyDescent="0.35">
      <c r="L186" s="46"/>
    </row>
    <row r="187" spans="12:12" x14ac:dyDescent="0.35">
      <c r="L187" s="46"/>
    </row>
    <row r="188" spans="12:12" x14ac:dyDescent="0.35">
      <c r="L188" s="46"/>
    </row>
    <row r="189" spans="12:12" x14ac:dyDescent="0.35">
      <c r="L189" s="46"/>
    </row>
    <row r="190" spans="12:12" x14ac:dyDescent="0.35">
      <c r="L190" s="46"/>
    </row>
    <row r="191" spans="12:12" x14ac:dyDescent="0.35">
      <c r="L191" s="46"/>
    </row>
    <row r="192" spans="12:12" x14ac:dyDescent="0.35">
      <c r="L192" s="46"/>
    </row>
    <row r="193" spans="12:12" x14ac:dyDescent="0.35">
      <c r="L193" s="46"/>
    </row>
    <row r="194" spans="12:12" x14ac:dyDescent="0.35">
      <c r="L194" s="46"/>
    </row>
    <row r="195" spans="12:12" x14ac:dyDescent="0.35">
      <c r="L195" s="46"/>
    </row>
    <row r="196" spans="12:12" x14ac:dyDescent="0.35">
      <c r="L196" s="46"/>
    </row>
    <row r="197" spans="12:12" x14ac:dyDescent="0.35">
      <c r="L197" s="46"/>
    </row>
    <row r="198" spans="12:12" x14ac:dyDescent="0.35">
      <c r="L198" s="46"/>
    </row>
    <row r="199" spans="12:12" x14ac:dyDescent="0.35">
      <c r="L199" s="46"/>
    </row>
    <row r="200" spans="12:12" x14ac:dyDescent="0.35">
      <c r="L200" s="46"/>
    </row>
    <row r="201" spans="12:12" x14ac:dyDescent="0.35">
      <c r="L201" s="46"/>
    </row>
    <row r="202" spans="12:12" x14ac:dyDescent="0.35">
      <c r="L202" s="46"/>
    </row>
    <row r="203" spans="12:12" x14ac:dyDescent="0.35">
      <c r="L203" s="46"/>
    </row>
    <row r="204" spans="12:12" x14ac:dyDescent="0.35">
      <c r="L204" s="46"/>
    </row>
    <row r="205" spans="12:12" x14ac:dyDescent="0.35">
      <c r="L205" s="46"/>
    </row>
    <row r="206" spans="12:12" x14ac:dyDescent="0.35">
      <c r="L206" s="46"/>
    </row>
    <row r="207" spans="12:12" x14ac:dyDescent="0.35">
      <c r="L207" s="46"/>
    </row>
    <row r="208" spans="12:12" x14ac:dyDescent="0.35">
      <c r="L208" s="46"/>
    </row>
    <row r="209" spans="12:12" x14ac:dyDescent="0.35">
      <c r="L209" s="46"/>
    </row>
    <row r="210" spans="12:12" x14ac:dyDescent="0.35">
      <c r="L210" s="46"/>
    </row>
    <row r="211" spans="12:12" x14ac:dyDescent="0.35">
      <c r="L211" s="46"/>
    </row>
    <row r="212" spans="12:12" x14ac:dyDescent="0.35">
      <c r="L212" s="46"/>
    </row>
    <row r="213" spans="12:12" x14ac:dyDescent="0.35">
      <c r="L213" s="46"/>
    </row>
    <row r="214" spans="12:12" x14ac:dyDescent="0.35">
      <c r="L214" s="46"/>
    </row>
    <row r="215" spans="12:12" x14ac:dyDescent="0.35">
      <c r="L215" s="46"/>
    </row>
    <row r="216" spans="12:12" x14ac:dyDescent="0.35">
      <c r="L216" s="46"/>
    </row>
    <row r="217" spans="12:12" x14ac:dyDescent="0.35">
      <c r="L217" s="46"/>
    </row>
    <row r="218" spans="12:12" x14ac:dyDescent="0.35">
      <c r="L218" s="46"/>
    </row>
    <row r="219" spans="12:12" x14ac:dyDescent="0.35">
      <c r="L219" s="46"/>
    </row>
    <row r="220" spans="12:12" x14ac:dyDescent="0.35">
      <c r="L220" s="46"/>
    </row>
    <row r="221" spans="12:12" x14ac:dyDescent="0.35">
      <c r="L221" s="46"/>
    </row>
    <row r="222" spans="12:12" x14ac:dyDescent="0.35">
      <c r="L222" s="46"/>
    </row>
    <row r="223" spans="12:12" x14ac:dyDescent="0.35">
      <c r="L223" s="46"/>
    </row>
    <row r="224" spans="12:12" x14ac:dyDescent="0.35">
      <c r="L224" s="46"/>
    </row>
    <row r="225" spans="12:12" x14ac:dyDescent="0.35">
      <c r="L225" s="46"/>
    </row>
    <row r="226" spans="12:12" x14ac:dyDescent="0.35">
      <c r="L226" s="46"/>
    </row>
    <row r="227" spans="12:12" x14ac:dyDescent="0.35">
      <c r="L227" s="46"/>
    </row>
    <row r="228" spans="12:12" x14ac:dyDescent="0.35">
      <c r="L228" s="46"/>
    </row>
    <row r="229" spans="12:12" x14ac:dyDescent="0.35">
      <c r="L229" s="46"/>
    </row>
    <row r="230" spans="12:12" x14ac:dyDescent="0.35">
      <c r="L230" s="46"/>
    </row>
    <row r="231" spans="12:12" x14ac:dyDescent="0.35">
      <c r="L231" s="46"/>
    </row>
    <row r="232" spans="12:12" x14ac:dyDescent="0.35">
      <c r="L232" s="46"/>
    </row>
    <row r="233" spans="12:12" x14ac:dyDescent="0.35">
      <c r="L233" s="46"/>
    </row>
    <row r="234" spans="12:12" x14ac:dyDescent="0.35">
      <c r="L234" s="46"/>
    </row>
    <row r="235" spans="12:12" x14ac:dyDescent="0.35">
      <c r="L235" s="46"/>
    </row>
    <row r="236" spans="12:12" x14ac:dyDescent="0.35">
      <c r="L236" s="46"/>
    </row>
    <row r="237" spans="12:12" x14ac:dyDescent="0.35">
      <c r="L237" s="46"/>
    </row>
    <row r="238" spans="12:12" x14ac:dyDescent="0.35">
      <c r="L238" s="46"/>
    </row>
    <row r="239" spans="12:12" x14ac:dyDescent="0.35">
      <c r="L239" s="46"/>
    </row>
    <row r="240" spans="12:12" x14ac:dyDescent="0.35">
      <c r="L240" s="46"/>
    </row>
    <row r="241" spans="12:12" x14ac:dyDescent="0.35">
      <c r="L241" s="46"/>
    </row>
    <row r="242" spans="12:12" x14ac:dyDescent="0.35">
      <c r="L242" s="46"/>
    </row>
    <row r="243" spans="12:12" x14ac:dyDescent="0.35">
      <c r="L243" s="46"/>
    </row>
    <row r="244" spans="12:12" x14ac:dyDescent="0.35">
      <c r="L244" s="46"/>
    </row>
    <row r="245" spans="12:12" x14ac:dyDescent="0.35">
      <c r="L245" s="46"/>
    </row>
    <row r="246" spans="12:12" x14ac:dyDescent="0.35">
      <c r="L246" s="46"/>
    </row>
    <row r="247" spans="12:12" x14ac:dyDescent="0.35">
      <c r="L247" s="46"/>
    </row>
    <row r="248" spans="12:12" x14ac:dyDescent="0.35">
      <c r="L248" s="46"/>
    </row>
    <row r="249" spans="12:12" x14ac:dyDescent="0.35">
      <c r="L249" s="46"/>
    </row>
    <row r="250" spans="12:12" x14ac:dyDescent="0.35">
      <c r="L250" s="46"/>
    </row>
    <row r="251" spans="12:12" x14ac:dyDescent="0.35">
      <c r="L251" s="46"/>
    </row>
    <row r="252" spans="12:12" x14ac:dyDescent="0.35">
      <c r="L252" s="46"/>
    </row>
    <row r="253" spans="12:12" x14ac:dyDescent="0.35">
      <c r="L253" s="46"/>
    </row>
    <row r="254" spans="12:12" x14ac:dyDescent="0.35">
      <c r="L254" s="46"/>
    </row>
    <row r="255" spans="12:12" x14ac:dyDescent="0.35">
      <c r="L255" s="46"/>
    </row>
    <row r="256" spans="12:12" x14ac:dyDescent="0.35">
      <c r="L256" s="46"/>
    </row>
    <row r="257" spans="12:12" x14ac:dyDescent="0.35">
      <c r="L257" s="46"/>
    </row>
    <row r="258" spans="12:12" x14ac:dyDescent="0.35">
      <c r="L258" s="46"/>
    </row>
    <row r="259" spans="12:12" x14ac:dyDescent="0.35">
      <c r="L259" s="46"/>
    </row>
    <row r="260" spans="12:12" x14ac:dyDescent="0.35">
      <c r="L260" s="46"/>
    </row>
    <row r="261" spans="12:12" x14ac:dyDescent="0.35">
      <c r="L261" s="46"/>
    </row>
    <row r="262" spans="12:12" x14ac:dyDescent="0.35">
      <c r="L262" s="46"/>
    </row>
    <row r="263" spans="12:12" x14ac:dyDescent="0.35">
      <c r="L263" s="46"/>
    </row>
    <row r="264" spans="12:12" x14ac:dyDescent="0.35">
      <c r="L264" s="46"/>
    </row>
    <row r="265" spans="12:12" x14ac:dyDescent="0.35">
      <c r="L265" s="46"/>
    </row>
    <row r="266" spans="12:12" x14ac:dyDescent="0.35">
      <c r="L266" s="46"/>
    </row>
    <row r="267" spans="12:12" x14ac:dyDescent="0.35">
      <c r="L267" s="46"/>
    </row>
    <row r="268" spans="12:12" x14ac:dyDescent="0.35">
      <c r="L268" s="46"/>
    </row>
    <row r="269" spans="12:12" x14ac:dyDescent="0.35">
      <c r="L269" s="46"/>
    </row>
    <row r="270" spans="12:12" x14ac:dyDescent="0.35">
      <c r="L270" s="46"/>
    </row>
    <row r="271" spans="12:12" x14ac:dyDescent="0.35">
      <c r="L271" s="46"/>
    </row>
    <row r="272" spans="12:12" x14ac:dyDescent="0.35">
      <c r="L272" s="46"/>
    </row>
    <row r="273" spans="12:12" x14ac:dyDescent="0.35">
      <c r="L273" s="46"/>
    </row>
    <row r="274" spans="12:12" x14ac:dyDescent="0.35">
      <c r="L274" s="46"/>
    </row>
    <row r="275" spans="12:12" x14ac:dyDescent="0.35">
      <c r="L275" s="46"/>
    </row>
    <row r="276" spans="12:12" x14ac:dyDescent="0.35">
      <c r="L276" s="46"/>
    </row>
    <row r="277" spans="12:12" x14ac:dyDescent="0.35">
      <c r="L277" s="46"/>
    </row>
    <row r="278" spans="12:12" x14ac:dyDescent="0.35">
      <c r="L278" s="46"/>
    </row>
    <row r="279" spans="12:12" x14ac:dyDescent="0.35">
      <c r="L279" s="46"/>
    </row>
    <row r="280" spans="12:12" x14ac:dyDescent="0.35">
      <c r="L280" s="46"/>
    </row>
    <row r="281" spans="12:12" x14ac:dyDescent="0.35">
      <c r="L281" s="46"/>
    </row>
    <row r="282" spans="12:12" x14ac:dyDescent="0.35">
      <c r="L282" s="46"/>
    </row>
    <row r="283" spans="12:12" x14ac:dyDescent="0.35">
      <c r="L283" s="46"/>
    </row>
    <row r="284" spans="12:12" x14ac:dyDescent="0.35">
      <c r="L284" s="46"/>
    </row>
    <row r="285" spans="12:12" x14ac:dyDescent="0.35">
      <c r="L285" s="46"/>
    </row>
    <row r="286" spans="12:12" x14ac:dyDescent="0.35">
      <c r="L286" s="46"/>
    </row>
    <row r="287" spans="12:12" x14ac:dyDescent="0.35">
      <c r="L287" s="46"/>
    </row>
    <row r="288" spans="12:12" x14ac:dyDescent="0.35">
      <c r="L288" s="46"/>
    </row>
    <row r="289" spans="12:12" x14ac:dyDescent="0.35">
      <c r="L289" s="46"/>
    </row>
    <row r="290" spans="12:12" x14ac:dyDescent="0.35">
      <c r="L290" s="46"/>
    </row>
    <row r="291" spans="12:12" x14ac:dyDescent="0.35">
      <c r="L291" s="46"/>
    </row>
    <row r="292" spans="12:12" x14ac:dyDescent="0.35">
      <c r="L292" s="46"/>
    </row>
    <row r="293" spans="12:12" x14ac:dyDescent="0.35">
      <c r="L293" s="46"/>
    </row>
    <row r="294" spans="12:12" x14ac:dyDescent="0.35">
      <c r="L294" s="46"/>
    </row>
    <row r="295" spans="12:12" x14ac:dyDescent="0.35">
      <c r="L295" s="46"/>
    </row>
    <row r="296" spans="12:12" x14ac:dyDescent="0.35">
      <c r="L296" s="46"/>
    </row>
    <row r="297" spans="12:12" x14ac:dyDescent="0.35">
      <c r="L297" s="46"/>
    </row>
    <row r="298" spans="12:12" x14ac:dyDescent="0.35">
      <c r="L298" s="46"/>
    </row>
    <row r="299" spans="12:12" x14ac:dyDescent="0.35">
      <c r="L299" s="46"/>
    </row>
    <row r="300" spans="12:12" x14ac:dyDescent="0.35">
      <c r="L300" s="46"/>
    </row>
    <row r="301" spans="12:12" x14ac:dyDescent="0.35">
      <c r="L301" s="46"/>
    </row>
    <row r="302" spans="12:12" x14ac:dyDescent="0.35">
      <c r="L302" s="46"/>
    </row>
    <row r="303" spans="12:12" x14ac:dyDescent="0.35">
      <c r="L303" s="46"/>
    </row>
    <row r="304" spans="12:12" x14ac:dyDescent="0.35">
      <c r="L304" s="46"/>
    </row>
    <row r="305" spans="12:12" x14ac:dyDescent="0.35">
      <c r="L305" s="46"/>
    </row>
    <row r="306" spans="12:12" x14ac:dyDescent="0.35">
      <c r="L306" s="46"/>
    </row>
    <row r="307" spans="12:12" x14ac:dyDescent="0.35">
      <c r="L307" s="46"/>
    </row>
    <row r="308" spans="12:12" x14ac:dyDescent="0.35">
      <c r="L308" s="46"/>
    </row>
    <row r="309" spans="12:12" x14ac:dyDescent="0.35">
      <c r="L309" s="46"/>
    </row>
    <row r="310" spans="12:12" x14ac:dyDescent="0.35">
      <c r="L310" s="46"/>
    </row>
    <row r="311" spans="12:12" x14ac:dyDescent="0.35">
      <c r="L311" s="46"/>
    </row>
    <row r="312" spans="12:12" x14ac:dyDescent="0.35">
      <c r="L312" s="46"/>
    </row>
    <row r="313" spans="12:12" x14ac:dyDescent="0.35">
      <c r="L313" s="46"/>
    </row>
    <row r="314" spans="12:12" x14ac:dyDescent="0.35">
      <c r="L314" s="46"/>
    </row>
    <row r="315" spans="12:12" x14ac:dyDescent="0.35">
      <c r="L315" s="46"/>
    </row>
    <row r="316" spans="12:12" x14ac:dyDescent="0.35">
      <c r="L316" s="46"/>
    </row>
  </sheetData>
  <mergeCells count="27">
    <mergeCell ref="AG15:AI15"/>
    <mergeCell ref="B8:C8"/>
    <mergeCell ref="D8:E8"/>
    <mergeCell ref="J8:K8"/>
    <mergeCell ref="L8:M8"/>
    <mergeCell ref="BB15:BK15"/>
    <mergeCell ref="J9:K9"/>
    <mergeCell ref="L9:M9"/>
    <mergeCell ref="B10:C11"/>
    <mergeCell ref="E10:F11"/>
    <mergeCell ref="H11:H12"/>
    <mergeCell ref="I11:I12"/>
    <mergeCell ref="J11:M11"/>
    <mergeCell ref="Z11:AA11"/>
    <mergeCell ref="B13:C13"/>
    <mergeCell ref="E13:F13"/>
    <mergeCell ref="AD15:AF15"/>
    <mergeCell ref="AQ1:AU1"/>
    <mergeCell ref="E2:F2"/>
    <mergeCell ref="B6:C6"/>
    <mergeCell ref="E6:F6"/>
    <mergeCell ref="H7:M7"/>
    <mergeCell ref="B4:C4"/>
    <mergeCell ref="E4:F4"/>
    <mergeCell ref="A1:C1"/>
    <mergeCell ref="Z1:AA1"/>
    <mergeCell ref="AD1:AI1"/>
  </mergeCells>
  <pageMargins left="0.7" right="0.7" top="0.75" bottom="0.75" header="0.51180555555555496" footer="0.51180555555555496"/>
  <pageSetup paperSize="9" scale="10" firstPageNumber="0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V98"/>
  <sheetViews>
    <sheetView zoomScale="70" zoomScaleNormal="70" workbookViewId="0">
      <selection activeCell="B17" sqref="B17:E30"/>
    </sheetView>
  </sheetViews>
  <sheetFormatPr baseColWidth="10" defaultColWidth="10.453125" defaultRowHeight="14.5" x14ac:dyDescent="0.35"/>
  <cols>
    <col min="1" max="1" width="21" style="35" customWidth="1"/>
    <col min="2" max="2" width="17.81640625" style="35" customWidth="1"/>
    <col min="3" max="4" width="17.7265625" style="35" customWidth="1"/>
    <col min="5" max="5" width="17.453125" style="35" customWidth="1"/>
    <col min="6" max="6" width="24.26953125" style="35" customWidth="1"/>
    <col min="7" max="7" width="6" style="35" customWidth="1"/>
    <col min="8" max="8" width="19.81640625" style="35" customWidth="1"/>
    <col min="9" max="9" width="24.26953125" style="35" customWidth="1"/>
    <col min="10" max="11" width="14.1796875" style="35" customWidth="1"/>
    <col min="12" max="12" width="13.453125" style="47" customWidth="1"/>
    <col min="13" max="13" width="11.81640625" style="35" customWidth="1"/>
    <col min="14" max="24" width="10.453125" style="35"/>
    <col min="25" max="25" width="10.453125" style="47"/>
    <col min="26" max="26" width="11.81640625" style="35" customWidth="1"/>
    <col min="27" max="27" width="13.7265625" style="47" customWidth="1"/>
    <col min="28" max="28" width="10.453125" style="35"/>
    <col min="29" max="29" width="11.453125" style="75" bestFit="1" customWidth="1"/>
    <col min="30" max="30" width="20.453125" style="75" customWidth="1"/>
    <col min="31" max="35" width="10.453125" style="75"/>
    <col min="36" max="36" width="10.453125" style="159"/>
    <col min="37" max="37" width="10.453125" style="35"/>
    <col min="38" max="39" width="11.453125" style="75" bestFit="1" customWidth="1"/>
    <col min="40" max="40" width="20.7265625" style="75" bestFit="1" customWidth="1"/>
    <col min="41" max="41" width="10.54296875" style="75" bestFit="1" customWidth="1"/>
    <col min="42" max="42" width="10.54296875" style="159" bestFit="1" customWidth="1"/>
    <col min="43" max="44" width="10.54296875" style="75" bestFit="1" customWidth="1"/>
    <col min="45" max="45" width="10.54296875" style="75" customWidth="1"/>
    <col min="46" max="46" width="12.54296875" style="75" bestFit="1" customWidth="1"/>
    <col min="47" max="47" width="11.81640625" style="87" bestFit="1" customWidth="1"/>
    <col min="48" max="49" width="11.81640625" style="75" bestFit="1" customWidth="1"/>
    <col min="50" max="50" width="12.54296875" style="75" bestFit="1" customWidth="1"/>
    <col min="51" max="51" width="11.81640625" style="75" bestFit="1" customWidth="1"/>
    <col min="52" max="52" width="11.81640625" style="76" bestFit="1" customWidth="1"/>
    <col min="53" max="64" width="10.453125" style="35"/>
    <col min="65" max="66" width="12" style="35" bestFit="1" customWidth="1"/>
    <col min="67" max="67" width="10.453125" style="35"/>
    <col min="68" max="68" width="11.453125" style="35" bestFit="1" customWidth="1"/>
    <col min="69" max="69" width="12.54296875" style="47" bestFit="1" customWidth="1"/>
    <col min="70" max="70" width="12.1796875" style="35" bestFit="1" customWidth="1"/>
    <col min="71" max="71" width="12.1796875" style="159" customWidth="1"/>
    <col min="72" max="74" width="10.453125" style="159"/>
    <col min="75" max="16384" width="10.453125" style="35"/>
  </cols>
  <sheetData>
    <row r="1" spans="1:74" ht="57.75" customHeight="1" x14ac:dyDescent="0.45">
      <c r="A1" s="214" t="s">
        <v>175</v>
      </c>
      <c r="B1" s="214"/>
      <c r="C1" s="214"/>
      <c r="D1" s="168"/>
      <c r="E1" s="211" t="s">
        <v>176</v>
      </c>
      <c r="F1" s="169" t="str">
        <f>CONCATENATE(IF(ISNUMBER(H13),H13,"   ")&amp;" L/s")</f>
        <v xml:space="preserve">    L/s</v>
      </c>
      <c r="H1" s="71" t="s">
        <v>46</v>
      </c>
      <c r="I1" s="71"/>
      <c r="J1" s="72"/>
      <c r="K1" s="73"/>
      <c r="W1" s="35">
        <f>10/11-2/3</f>
        <v>0.24242424242424243</v>
      </c>
      <c r="Z1" s="237" t="s">
        <v>149</v>
      </c>
      <c r="AA1" s="237"/>
      <c r="AB1" s="74"/>
      <c r="AD1" s="238" t="s">
        <v>151</v>
      </c>
      <c r="AE1" s="238"/>
      <c r="AF1" s="238"/>
      <c r="AG1" s="238"/>
      <c r="AH1" s="238"/>
      <c r="AI1" s="238"/>
      <c r="AK1" s="75"/>
      <c r="AP1" s="160"/>
      <c r="AQ1" s="239" t="s">
        <v>152</v>
      </c>
      <c r="AR1" s="239"/>
      <c r="AS1" s="239"/>
      <c r="AT1" s="239"/>
      <c r="AU1" s="239"/>
      <c r="AV1" s="35"/>
      <c r="BA1" s="77" t="s">
        <v>153</v>
      </c>
      <c r="BB1" s="78"/>
      <c r="BC1" s="79"/>
      <c r="BD1" s="75"/>
      <c r="BE1" s="75"/>
      <c r="BF1" s="75"/>
      <c r="BG1" s="75"/>
    </row>
    <row r="2" spans="1:74" ht="21" customHeight="1" x14ac:dyDescent="0.45">
      <c r="A2" s="209"/>
      <c r="B2" s="209"/>
      <c r="C2" s="209"/>
      <c r="D2" s="168"/>
      <c r="E2" s="218" t="str">
        <f>IF(ISNUMBER(H13),CONCATENATE(ROUND((1-K13)*H13,1)&amp;" &lt; Q &lt; "&amp;ROUND((1+K13)*H13,1)&amp;" L/s"),"")</f>
        <v/>
      </c>
      <c r="F2" s="218"/>
      <c r="H2" s="71"/>
      <c r="I2" s="71"/>
      <c r="J2" s="72"/>
      <c r="K2" s="73"/>
      <c r="Z2" s="196"/>
      <c r="AA2" s="196"/>
      <c r="AB2" s="74"/>
      <c r="AD2" s="198"/>
      <c r="AE2" s="198"/>
      <c r="AF2" s="198"/>
      <c r="AG2" s="198"/>
      <c r="AH2" s="198"/>
      <c r="AI2" s="198"/>
      <c r="AK2" s="75"/>
      <c r="AP2" s="160"/>
      <c r="AQ2" s="199"/>
      <c r="AR2" s="199"/>
      <c r="AS2" s="199"/>
      <c r="AT2" s="199"/>
      <c r="AU2" s="199"/>
      <c r="AV2" s="35"/>
      <c r="BA2" s="77"/>
      <c r="BB2" s="78"/>
      <c r="BC2" s="79"/>
      <c r="BD2" s="75"/>
      <c r="BE2" s="75"/>
      <c r="BF2" s="75"/>
      <c r="BG2" s="75"/>
    </row>
    <row r="3" spans="1:74" ht="18.75" customHeight="1" x14ac:dyDescent="0.45">
      <c r="A3" s="170"/>
      <c r="B3" s="170"/>
      <c r="C3" s="170"/>
      <c r="D3" s="170"/>
      <c r="E3" s="170"/>
      <c r="F3" s="170"/>
      <c r="H3" s="80"/>
      <c r="I3" s="80"/>
      <c r="J3" s="81"/>
      <c r="K3" s="73"/>
      <c r="W3" s="82">
        <f>W1/2/SQRT(3)</f>
        <v>6.9981850810863735E-2</v>
      </c>
      <c r="Z3" s="54" t="s">
        <v>68</v>
      </c>
      <c r="AA3" s="83">
        <v>0.01</v>
      </c>
      <c r="AB3" s="54"/>
      <c r="AD3" s="7"/>
      <c r="AE3" s="7"/>
      <c r="AF3" s="84" t="s">
        <v>123</v>
      </c>
      <c r="AK3" s="75"/>
      <c r="AP3" s="160"/>
      <c r="AQ3" s="85"/>
      <c r="AR3" s="85"/>
      <c r="AS3" s="86" t="s">
        <v>123</v>
      </c>
      <c r="AT3" s="35"/>
      <c r="AV3" s="35"/>
      <c r="BA3" s="79"/>
      <c r="BB3" s="79"/>
      <c r="BC3" s="88" t="s">
        <v>123</v>
      </c>
      <c r="BD3" s="75"/>
      <c r="BE3" s="75"/>
      <c r="BF3" s="75"/>
      <c r="BG3" s="75"/>
    </row>
    <row r="4" spans="1:74" ht="26.25" customHeight="1" x14ac:dyDescent="0.45">
      <c r="A4" s="171" t="s">
        <v>60</v>
      </c>
      <c r="B4" s="212"/>
      <c r="C4" s="212"/>
      <c r="D4" s="171" t="s">
        <v>102</v>
      </c>
      <c r="E4" s="213"/>
      <c r="F4" s="212"/>
      <c r="H4" s="80" t="s">
        <v>2</v>
      </c>
      <c r="I4" s="80" t="s">
        <v>3</v>
      </c>
      <c r="J4" s="81"/>
      <c r="K4" s="73"/>
      <c r="Z4" s="54" t="s">
        <v>66</v>
      </c>
      <c r="AA4" s="54">
        <v>0.01</v>
      </c>
      <c r="AB4" s="54" t="s">
        <v>67</v>
      </c>
      <c r="AD4" s="7" t="s">
        <v>154</v>
      </c>
      <c r="AE4" s="89" t="e">
        <f>AA3^2/$K$13^2*4</f>
        <v>#VALUE!</v>
      </c>
      <c r="AF4" s="89">
        <f>AA3*2</f>
        <v>0.02</v>
      </c>
      <c r="AK4" s="75"/>
      <c r="AP4" s="160"/>
      <c r="AQ4" s="85" t="s">
        <v>154</v>
      </c>
      <c r="AR4" s="90" t="e">
        <f>$AA$3^2/$J$13^2*4</f>
        <v>#VALUE!</v>
      </c>
      <c r="AS4" s="90">
        <f>$AA$3*2</f>
        <v>0.02</v>
      </c>
      <c r="AT4" s="35"/>
      <c r="AV4" s="35"/>
      <c r="BA4" s="79" t="s">
        <v>154</v>
      </c>
      <c r="BB4" s="91" t="e">
        <f>$AA$3^2/$L$13^2*4</f>
        <v>#VALUE!</v>
      </c>
      <c r="BC4" s="91">
        <f>$AA$3*2</f>
        <v>0.02</v>
      </c>
      <c r="BD4" s="75"/>
      <c r="BE4" s="75"/>
      <c r="BF4" s="75"/>
      <c r="BG4" s="75"/>
    </row>
    <row r="5" spans="1:74" ht="18.5" x14ac:dyDescent="0.45">
      <c r="B5" s="73"/>
      <c r="C5" s="73"/>
      <c r="E5" s="73"/>
      <c r="F5" s="73"/>
      <c r="H5" s="80">
        <v>0.64100000000000001</v>
      </c>
      <c r="I5" s="80">
        <v>-1.9E-2</v>
      </c>
      <c r="J5" s="81"/>
      <c r="K5" s="73"/>
      <c r="Z5" s="54" t="s">
        <v>69</v>
      </c>
      <c r="AA5" s="54">
        <v>5.0000000000000001E-3</v>
      </c>
      <c r="AB5" s="54" t="s">
        <v>67</v>
      </c>
      <c r="AD5" s="7" t="s">
        <v>155</v>
      </c>
      <c r="AE5" s="89" t="e">
        <f>AV15/$K$13^2*4</f>
        <v>#VALUE!</v>
      </c>
      <c r="AF5" s="89" t="e">
        <f>SQRT(AV15)*2</f>
        <v>#VALUE!</v>
      </c>
      <c r="AK5" s="75"/>
      <c r="AP5" s="160"/>
      <c r="AQ5" s="85" t="s">
        <v>155</v>
      </c>
      <c r="AR5" s="92" t="e">
        <f>$AV$15/$J$13^2*4</f>
        <v>#VALUE!</v>
      </c>
      <c r="AS5" s="92" t="e">
        <f>SQRT($AV$15)*2</f>
        <v>#VALUE!</v>
      </c>
      <c r="AT5" s="35"/>
      <c r="AV5" s="35"/>
      <c r="BA5" s="79" t="s">
        <v>155</v>
      </c>
      <c r="BB5" s="93" t="e">
        <f>$AV$15/$L$13^2*4</f>
        <v>#VALUE!</v>
      </c>
      <c r="BC5" s="93" t="e">
        <f>SQRT($AV$15)*2</f>
        <v>#VALUE!</v>
      </c>
      <c r="BD5" s="75"/>
      <c r="BE5" s="75"/>
      <c r="BF5" s="75"/>
      <c r="BG5" s="75"/>
    </row>
    <row r="6" spans="1:74" ht="28.5" customHeight="1" thickBot="1" x14ac:dyDescent="0.5">
      <c r="A6" s="171" t="s">
        <v>26</v>
      </c>
      <c r="B6" s="212"/>
      <c r="C6" s="212"/>
      <c r="D6" s="171" t="s">
        <v>101</v>
      </c>
      <c r="E6" s="212"/>
      <c r="F6" s="212"/>
      <c r="H6" s="73"/>
      <c r="I6" s="73"/>
      <c r="J6" s="73"/>
      <c r="K6" s="73"/>
      <c r="Z6" s="54" t="s">
        <v>75</v>
      </c>
      <c r="AA6" s="54">
        <v>1E-3</v>
      </c>
      <c r="AB6" s="54" t="s">
        <v>67</v>
      </c>
      <c r="AD6" s="7" t="s">
        <v>156</v>
      </c>
      <c r="AE6" s="89" t="e">
        <f>AW15/$K$13^2*4</f>
        <v>#VALUE!</v>
      </c>
      <c r="AF6" s="89" t="e">
        <f>SQRT(AW15)*2</f>
        <v>#VALUE!</v>
      </c>
      <c r="AK6" s="75"/>
      <c r="AP6" s="160"/>
      <c r="AQ6" s="85" t="s">
        <v>156</v>
      </c>
      <c r="AR6" s="92" t="e">
        <f>$AW$15/$J$13^2*4</f>
        <v>#VALUE!</v>
      </c>
      <c r="AS6" s="92" t="e">
        <f>SQRT($AW$15)*2</f>
        <v>#VALUE!</v>
      </c>
      <c r="AT6" s="35"/>
      <c r="AV6" s="35"/>
      <c r="BA6" s="79" t="s">
        <v>156</v>
      </c>
      <c r="BB6" s="93" t="e">
        <f>$AW$15/$L$13^2*4</f>
        <v>#VALUE!</v>
      </c>
      <c r="BC6" s="93" t="e">
        <f>SQRT($AW$15)*2</f>
        <v>#VALUE!</v>
      </c>
      <c r="BD6" s="75"/>
      <c r="BE6" s="75"/>
      <c r="BF6" s="75"/>
      <c r="BG6" s="75"/>
    </row>
    <row r="7" spans="1:74" ht="18.5" x14ac:dyDescent="0.45">
      <c r="A7" s="172"/>
      <c r="B7" s="183"/>
      <c r="C7" s="183"/>
      <c r="D7" s="172"/>
      <c r="E7" s="174"/>
      <c r="F7" s="174"/>
      <c r="H7" s="240" t="s">
        <v>27</v>
      </c>
      <c r="I7" s="241"/>
      <c r="J7" s="241"/>
      <c r="K7" s="241"/>
      <c r="L7" s="241"/>
      <c r="M7" s="242"/>
      <c r="Z7" s="54" t="s">
        <v>76</v>
      </c>
      <c r="AA7" s="54">
        <v>0.1</v>
      </c>
      <c r="AB7" s="54" t="s">
        <v>77</v>
      </c>
      <c r="AC7" s="94"/>
      <c r="AD7" s="7" t="s">
        <v>157</v>
      </c>
      <c r="AE7" s="89" t="e">
        <f>AY15/$K$13^2*4</f>
        <v>#VALUE!</v>
      </c>
      <c r="AF7" s="89" t="e">
        <f>SQRT(AY15)*2</f>
        <v>#VALUE!</v>
      </c>
      <c r="AK7" s="75"/>
      <c r="AP7" s="160"/>
      <c r="AQ7" s="85" t="s">
        <v>157</v>
      </c>
      <c r="AR7" s="92" t="e">
        <f>$AY$15/$J$13^2*4</f>
        <v>#VALUE!</v>
      </c>
      <c r="AS7" s="92" t="e">
        <f>SQRT($AY$15)*2</f>
        <v>#VALUE!</v>
      </c>
      <c r="AT7" s="35"/>
      <c r="AV7" s="35"/>
      <c r="BA7" s="79" t="s">
        <v>157</v>
      </c>
      <c r="BB7" s="93" t="e">
        <f>$AY$15/$L$13^2*4</f>
        <v>#VALUE!</v>
      </c>
      <c r="BC7" s="93" t="e">
        <f>SQRT($AY$15)*2</f>
        <v>#VALUE!</v>
      </c>
      <c r="BD7" s="75"/>
      <c r="BE7" s="75"/>
      <c r="BF7" s="75"/>
      <c r="BG7" s="75"/>
    </row>
    <row r="8" spans="1:74" ht="31.5" customHeight="1" x14ac:dyDescent="0.45">
      <c r="A8" s="171" t="s">
        <v>28</v>
      </c>
      <c r="B8" s="212"/>
      <c r="C8" s="212"/>
      <c r="D8" s="222" t="s">
        <v>29</v>
      </c>
      <c r="E8" s="222"/>
      <c r="F8" s="200"/>
      <c r="H8" s="193" t="s">
        <v>30</v>
      </c>
      <c r="I8" s="197" t="s">
        <v>145</v>
      </c>
      <c r="J8" s="243" t="s">
        <v>43</v>
      </c>
      <c r="K8" s="243"/>
      <c r="L8" s="243" t="s">
        <v>146</v>
      </c>
      <c r="M8" s="244"/>
      <c r="Z8" s="54" t="s">
        <v>70</v>
      </c>
      <c r="AA8" s="83">
        <v>0.09</v>
      </c>
      <c r="AD8" s="7" t="s">
        <v>158</v>
      </c>
      <c r="AE8" s="89" t="e">
        <f>AZ15/$K$13^2*4</f>
        <v>#VALUE!</v>
      </c>
      <c r="AF8" s="89" t="e">
        <f>SQRT(AZ15)*2</f>
        <v>#VALUE!</v>
      </c>
      <c r="AK8" s="75"/>
      <c r="AP8" s="160"/>
      <c r="AQ8" s="85" t="s">
        <v>158</v>
      </c>
      <c r="AR8" s="92" t="e">
        <f>$AZ$15/$J$13^2*4</f>
        <v>#VALUE!</v>
      </c>
      <c r="AS8" s="92" t="e">
        <f>SQRT($AZ$15)*2</f>
        <v>#VALUE!</v>
      </c>
      <c r="AT8" s="35"/>
      <c r="AV8" s="35"/>
      <c r="BA8" s="79" t="s">
        <v>158</v>
      </c>
      <c r="BB8" s="93" t="e">
        <f>$AZ$15/$L$13^2*4</f>
        <v>#VALUE!</v>
      </c>
      <c r="BC8" s="93" t="e">
        <f>SQRT($AZ$15)*2</f>
        <v>#VALUE!</v>
      </c>
      <c r="BD8" s="75"/>
      <c r="BE8" s="75"/>
      <c r="BF8" s="75"/>
      <c r="BG8" s="75"/>
    </row>
    <row r="9" spans="1:74" ht="18.5" x14ac:dyDescent="0.45">
      <c r="A9" s="172"/>
      <c r="B9" s="73"/>
      <c r="C9" s="73"/>
      <c r="D9" s="172"/>
      <c r="E9" s="97"/>
      <c r="F9" s="97"/>
      <c r="H9" s="95" t="str">
        <f>IF(ISBLANK(B17),"",ROUND(SUM(L17:L42),3-(1+INT(LOG10(ABS(SUM(L17:L42)))))))</f>
        <v/>
      </c>
      <c r="I9" s="210" t="str">
        <f>IF(ISNUMBER($H$9),ROUND(SUM(K17:K42),3-(1+INT(LOG10(ABS(SUM(K17:K42)))))),"")</f>
        <v/>
      </c>
      <c r="J9" s="246" t="str">
        <f>IF(ISNUMBER($H$9),ROUND(H9/I9,3-(1+INT(LOG10(ABS(H9/I9))))),"")</f>
        <v/>
      </c>
      <c r="K9" s="246"/>
      <c r="L9" s="247" t="str">
        <f>IF(ISNUMBER($H$9),COUNTA(B17:B42)-2,"")</f>
        <v/>
      </c>
      <c r="M9" s="248"/>
      <c r="Z9" s="54" t="s">
        <v>106</v>
      </c>
      <c r="AA9" s="54">
        <v>15</v>
      </c>
      <c r="AB9" s="54" t="s">
        <v>107</v>
      </c>
      <c r="AC9" s="75">
        <f>AA9/180*PI()</f>
        <v>0.26179938779914941</v>
      </c>
      <c r="AD9" s="7" t="s">
        <v>160</v>
      </c>
      <c r="AE9" s="89" t="e">
        <f>BM15/$K$13^2*4</f>
        <v>#VALUE!</v>
      </c>
      <c r="AF9" s="89" t="e">
        <f>SQRT(BM15)*2</f>
        <v>#VALUE!</v>
      </c>
      <c r="AK9" s="75"/>
      <c r="AP9" s="160"/>
      <c r="AQ9" s="85" t="s">
        <v>159</v>
      </c>
      <c r="AR9" s="92" t="e">
        <f>$AA$12^2/$J$13^2*4</f>
        <v>#VALUE!</v>
      </c>
      <c r="AS9" s="90">
        <f>AN9*2</f>
        <v>0</v>
      </c>
      <c r="AT9" s="35"/>
      <c r="AV9" s="35"/>
      <c r="BA9" s="79" t="s">
        <v>159</v>
      </c>
      <c r="BB9" s="93" t="e">
        <f>AA14^2/$L$13^2*4</f>
        <v>#DIV/0!</v>
      </c>
      <c r="BC9" s="91" t="e">
        <f>AA14*2</f>
        <v>#DIV/0!</v>
      </c>
      <c r="BD9" s="75"/>
      <c r="BE9" s="75"/>
      <c r="BF9" s="75"/>
      <c r="BG9" s="75"/>
    </row>
    <row r="10" spans="1:74" ht="18.5" x14ac:dyDescent="0.45">
      <c r="A10" s="171" t="s">
        <v>31</v>
      </c>
      <c r="B10" s="229"/>
      <c r="C10" s="212"/>
      <c r="D10" s="171" t="s">
        <v>32</v>
      </c>
      <c r="E10" s="230"/>
      <c r="F10" s="231"/>
      <c r="H10" s="96"/>
      <c r="I10" s="97"/>
      <c r="J10" s="97"/>
      <c r="K10" s="34"/>
      <c r="L10" s="156"/>
      <c r="M10" s="48"/>
      <c r="X10" s="24"/>
      <c r="AD10" s="7" t="s">
        <v>161</v>
      </c>
      <c r="AE10" s="89" t="e">
        <f>BN15/$K$13^2*4</f>
        <v>#VALUE!</v>
      </c>
      <c r="AF10" s="89" t="e">
        <f>SQRT(BN15)*2</f>
        <v>#VALUE!</v>
      </c>
      <c r="AK10" s="75"/>
      <c r="AP10" s="160"/>
      <c r="AQ10" s="35"/>
      <c r="AR10" s="35"/>
      <c r="AS10" s="35"/>
      <c r="AT10" s="35"/>
      <c r="AV10" s="35"/>
      <c r="BA10" s="75"/>
      <c r="BB10" s="75"/>
      <c r="BC10" s="75"/>
      <c r="BD10" s="75"/>
      <c r="BE10" s="75"/>
      <c r="BF10" s="75"/>
      <c r="BG10" s="75"/>
    </row>
    <row r="11" spans="1:74" ht="18.649999999999999" customHeight="1" x14ac:dyDescent="0.45">
      <c r="A11" s="171"/>
      <c r="B11" s="212"/>
      <c r="C11" s="212"/>
      <c r="D11" s="171"/>
      <c r="E11" s="231"/>
      <c r="F11" s="231"/>
      <c r="H11" s="249" t="s">
        <v>41</v>
      </c>
      <c r="I11" s="250" t="s">
        <v>147</v>
      </c>
      <c r="J11" s="251" t="s">
        <v>148</v>
      </c>
      <c r="K11" s="251"/>
      <c r="L11" s="251"/>
      <c r="M11" s="252"/>
      <c r="Z11" s="237" t="s">
        <v>150</v>
      </c>
      <c r="AA11" s="237"/>
      <c r="AB11" s="54"/>
      <c r="AC11" s="94"/>
      <c r="AK11" s="75"/>
      <c r="AP11" s="160"/>
      <c r="AQ11" s="35"/>
      <c r="AR11" s="35"/>
      <c r="AS11" s="35"/>
      <c r="AT11" s="35"/>
      <c r="AV11" s="35"/>
      <c r="BA11" s="75"/>
      <c r="BB11" s="75"/>
      <c r="BC11" s="75"/>
      <c r="BD11" s="75"/>
      <c r="BE11" s="75"/>
      <c r="BF11" s="75"/>
      <c r="BG11" s="75"/>
    </row>
    <row r="12" spans="1:74" ht="18.649999999999999" customHeight="1" x14ac:dyDescent="0.45">
      <c r="B12" s="73"/>
      <c r="C12" s="73"/>
      <c r="E12" s="97"/>
      <c r="F12" s="97"/>
      <c r="H12" s="249"/>
      <c r="I12" s="250"/>
      <c r="J12" s="194" t="s">
        <v>139</v>
      </c>
      <c r="K12" s="194" t="s">
        <v>119</v>
      </c>
      <c r="L12" s="194" t="s">
        <v>122</v>
      </c>
      <c r="M12" s="195"/>
      <c r="Z12" s="54" t="s">
        <v>141</v>
      </c>
      <c r="AA12" s="98" t="e">
        <f>(32*L9^(-0.88))/100</f>
        <v>#VALUE!</v>
      </c>
      <c r="AK12" s="75"/>
      <c r="AP12" s="160"/>
      <c r="AQ12" s="85"/>
      <c r="AR12" s="85"/>
      <c r="AS12" s="85"/>
      <c r="AT12" s="35"/>
      <c r="AV12" s="35"/>
      <c r="BA12" s="75"/>
      <c r="BB12" s="75"/>
      <c r="BC12" s="75"/>
      <c r="BD12" s="75"/>
      <c r="BE12" s="75"/>
      <c r="BF12" s="75"/>
      <c r="BG12" s="75"/>
    </row>
    <row r="13" spans="1:74" ht="32.15" customHeight="1" thickBot="1" x14ac:dyDescent="0.5">
      <c r="A13" s="171" t="s">
        <v>61</v>
      </c>
      <c r="B13" s="212"/>
      <c r="C13" s="212"/>
      <c r="D13" s="171" t="s">
        <v>62</v>
      </c>
      <c r="E13" s="231"/>
      <c r="F13" s="231"/>
      <c r="H13" s="99" t="str">
        <f>IF(ISNUMBER($H$9),ROUND(H9*1000,3-(1+INT(LOG10(ABS(H9*1000))))),"")</f>
        <v/>
      </c>
      <c r="I13" s="121" t="str">
        <f>IF(ISNUMBER($H$9),(H9-AJ15)/H9,"")</f>
        <v/>
      </c>
      <c r="J13" s="49" t="str">
        <f>IF(ISNUMBER($H$9),2*SQRT(AA3^2+AA12^2+AU15),"")</f>
        <v/>
      </c>
      <c r="K13" s="49" t="str">
        <f>IF(ISNUMBER($H$9),2*SQRT(AA3^2+BQ15),"")</f>
        <v/>
      </c>
      <c r="L13" s="134" t="str">
        <f>IF(ISNUMBER($H$9),2*SQRT(AA3^2+AA14^2+AU15),"")</f>
        <v/>
      </c>
      <c r="M13" s="100"/>
      <c r="Z13" s="54" t="s">
        <v>128</v>
      </c>
      <c r="AA13" s="101" t="e">
        <f>IF(AL15=0,0,AM15/AL15*AO15/H9)</f>
        <v>#DIV/0!</v>
      </c>
      <c r="AD13" s="7" t="s">
        <v>82</v>
      </c>
      <c r="AE13" s="102" t="e">
        <f>SUM(AE4:AE10)</f>
        <v>#VALUE!</v>
      </c>
      <c r="AK13" s="75"/>
      <c r="AP13" s="160"/>
      <c r="AQ13" s="85" t="s">
        <v>82</v>
      </c>
      <c r="AR13" s="103" t="e">
        <f>SUM(AR4:AR9)</f>
        <v>#VALUE!</v>
      </c>
      <c r="AS13" s="85"/>
      <c r="AT13" s="104"/>
      <c r="AU13" s="105"/>
      <c r="AV13" s="104"/>
      <c r="BA13" s="79" t="s">
        <v>82</v>
      </c>
      <c r="BB13" s="106" t="e">
        <f>SUM(BB4:BB9)</f>
        <v>#VALUE!</v>
      </c>
      <c r="BC13" s="79"/>
      <c r="BD13" s="75"/>
      <c r="BE13" s="75"/>
      <c r="BF13" s="75"/>
      <c r="BG13" s="75"/>
      <c r="BH13" s="104"/>
      <c r="BI13" s="104"/>
      <c r="BJ13" s="104"/>
      <c r="BK13" s="104"/>
      <c r="BO13" s="35" t="s">
        <v>131</v>
      </c>
      <c r="BP13" s="35" t="s">
        <v>130</v>
      </c>
    </row>
    <row r="14" spans="1:74" ht="11.25" customHeight="1" x14ac:dyDescent="0.35">
      <c r="Z14" s="54" t="s">
        <v>129</v>
      </c>
      <c r="AA14" s="98" t="e">
        <f>IF(AA13&lt;1.2,(-5.9*AA13^2+21.4*AA13+0.3)/100,(-5.9*1.2^2+21.4*1.2+0.3)/100)</f>
        <v>#DIV/0!</v>
      </c>
      <c r="AB14" s="54"/>
      <c r="AL14" s="75" t="s">
        <v>91</v>
      </c>
      <c r="AM14" s="75" t="s">
        <v>92</v>
      </c>
      <c r="AO14" s="75" t="s">
        <v>93</v>
      </c>
      <c r="BO14" s="35" t="e">
        <f t="array" ref="BO14">MAX(IF(ISNA(BO17:BO42),,BO17:BO42))*180/PI()</f>
        <v>#DIV/0!</v>
      </c>
      <c r="BP14" s="35" t="e">
        <f>BP15/PI()*180</f>
        <v>#DIV/0!</v>
      </c>
      <c r="BR14" s="35" t="s">
        <v>136</v>
      </c>
    </row>
    <row r="15" spans="1:74" s="108" customFormat="1" ht="58.5" customHeight="1" x14ac:dyDescent="0.45">
      <c r="A15" s="177" t="s">
        <v>33</v>
      </c>
      <c r="B15" s="177" t="s">
        <v>34</v>
      </c>
      <c r="C15" s="177" t="s">
        <v>35</v>
      </c>
      <c r="D15" s="177" t="s">
        <v>36</v>
      </c>
      <c r="E15" s="177" t="s">
        <v>37</v>
      </c>
      <c r="F15" s="177" t="s">
        <v>19</v>
      </c>
      <c r="H15" s="70" t="s">
        <v>42</v>
      </c>
      <c r="I15" s="70" t="s">
        <v>43</v>
      </c>
      <c r="J15" s="70" t="s">
        <v>38</v>
      </c>
      <c r="K15" s="70" t="s">
        <v>39</v>
      </c>
      <c r="L15" s="157" t="s">
        <v>40</v>
      </c>
      <c r="M15" s="70" t="s">
        <v>50</v>
      </c>
      <c r="N15" s="70" t="s">
        <v>51</v>
      </c>
      <c r="O15" s="36"/>
      <c r="P15" s="37" t="s">
        <v>56</v>
      </c>
      <c r="Q15" s="36"/>
      <c r="R15" s="36"/>
      <c r="S15" s="36"/>
      <c r="T15" s="36"/>
      <c r="U15" s="36"/>
      <c r="V15" s="36"/>
      <c r="W15" s="36"/>
      <c r="X15" s="36"/>
      <c r="Y15" s="57"/>
      <c r="Z15" s="54" t="s">
        <v>142</v>
      </c>
      <c r="AA15" s="98" t="e">
        <f>SQRT(BM15+BN15)</f>
        <v>#VALUE!</v>
      </c>
      <c r="AB15" s="36"/>
      <c r="AC15" s="107"/>
      <c r="AD15" s="253" t="s">
        <v>94</v>
      </c>
      <c r="AE15" s="253"/>
      <c r="AF15" s="253"/>
      <c r="AG15" s="253" t="s">
        <v>95</v>
      </c>
      <c r="AH15" s="253"/>
      <c r="AI15" s="253"/>
      <c r="AJ15" s="161">
        <f>SUM(AJ17:AJ42)</f>
        <v>0</v>
      </c>
      <c r="AL15" s="107" t="e">
        <f t="array" ref="AL15">STDEVA(IF(AL17:AL42&lt;&gt;0,AL17:AL42))</f>
        <v>#DIV/0!</v>
      </c>
      <c r="AM15" s="107" t="e">
        <f t="array" ref="AM15">STDEVA(IF(AM17:AM42&lt;&gt;0,AM17:AM42))</f>
        <v>#DIV/0!</v>
      </c>
      <c r="AN15" s="107"/>
      <c r="AO15" s="107">
        <f>SUM(AO18:AO42)</f>
        <v>0</v>
      </c>
      <c r="AP15" s="162"/>
      <c r="AQ15" s="107"/>
      <c r="AR15" s="107"/>
      <c r="AS15" s="107"/>
      <c r="AT15" s="107"/>
      <c r="AU15" s="105" t="e">
        <f>SUM(AU17:AU42)</f>
        <v>#VALUE!</v>
      </c>
      <c r="AV15" s="109" t="e">
        <f t="shared" ref="AV15:AX15" si="0">SUM(AV17:AV42)</f>
        <v>#VALUE!</v>
      </c>
      <c r="AW15" s="109" t="e">
        <f t="shared" si="0"/>
        <v>#VALUE!</v>
      </c>
      <c r="AX15" s="109" t="e">
        <f t="shared" si="0"/>
        <v>#VALUE!</v>
      </c>
      <c r="AY15" s="109" t="e">
        <f>SUM(AY17:AY42)</f>
        <v>#VALUE!</v>
      </c>
      <c r="AZ15" s="110" t="e">
        <f>SUM(AZ17:AZ42)</f>
        <v>#VALUE!</v>
      </c>
      <c r="BB15" s="245" t="s">
        <v>162</v>
      </c>
      <c r="BC15" s="245"/>
      <c r="BD15" s="245"/>
      <c r="BE15" s="245"/>
      <c r="BF15" s="245"/>
      <c r="BG15" s="245"/>
      <c r="BH15" s="245"/>
      <c r="BI15" s="245"/>
      <c r="BJ15" s="245"/>
      <c r="BK15" s="245"/>
      <c r="BM15" s="108" t="e">
        <f t="shared" ref="BM15:BN15" si="1">SUM(BM17:BM42)</f>
        <v>#VALUE!</v>
      </c>
      <c r="BN15" s="108" t="e">
        <f t="shared" si="1"/>
        <v>#VALUE!</v>
      </c>
      <c r="BP15" s="108" t="e">
        <f>SUMIF(BP17:BP42,"&lt;&gt;#N/A")/$H$9</f>
        <v>#DIV/0!</v>
      </c>
      <c r="BQ15" s="111" t="e">
        <f>SUM(BQ17:BQ42)</f>
        <v>#VALUE!</v>
      </c>
      <c r="BR15" s="108" t="e">
        <f>SUM(AV15:AZ15,BM15:BN15)-BQ15</f>
        <v>#VALUE!</v>
      </c>
      <c r="BS15" s="162"/>
      <c r="BT15" s="162" t="s">
        <v>172</v>
      </c>
      <c r="BU15" s="162" t="s">
        <v>173</v>
      </c>
      <c r="BV15" s="162">
        <v>0</v>
      </c>
    </row>
    <row r="16" spans="1:74" s="108" customFormat="1" ht="21" customHeight="1" x14ac:dyDescent="0.45">
      <c r="A16" s="1"/>
      <c r="B16" s="1"/>
      <c r="C16" s="1"/>
      <c r="D16" s="1"/>
      <c r="E16" s="1"/>
      <c r="F16" s="1"/>
      <c r="H16" s="1"/>
      <c r="I16" s="1"/>
      <c r="J16" s="1"/>
      <c r="K16" s="1"/>
      <c r="L16" s="158"/>
      <c r="O16" s="36"/>
      <c r="P16" s="37" t="s">
        <v>23</v>
      </c>
      <c r="Q16" s="36"/>
      <c r="R16" s="36"/>
      <c r="S16" s="36"/>
      <c r="T16" s="37" t="s">
        <v>24</v>
      </c>
      <c r="U16" s="36"/>
      <c r="V16" s="36"/>
      <c r="W16" s="36"/>
      <c r="X16" s="36"/>
      <c r="Y16" s="57" t="s">
        <v>25</v>
      </c>
      <c r="Z16" s="36"/>
      <c r="AA16" s="57"/>
      <c r="AB16" s="36"/>
      <c r="AC16" s="107" t="s">
        <v>55</v>
      </c>
      <c r="AD16" s="107" t="s">
        <v>52</v>
      </c>
      <c r="AE16" s="107" t="s">
        <v>53</v>
      </c>
      <c r="AF16" s="107" t="s">
        <v>54</v>
      </c>
      <c r="AG16" s="107" t="s">
        <v>52</v>
      </c>
      <c r="AH16" s="107" t="s">
        <v>53</v>
      </c>
      <c r="AI16" s="107" t="s">
        <v>54</v>
      </c>
      <c r="AJ16" s="162" t="s">
        <v>167</v>
      </c>
      <c r="AL16" s="107" t="s">
        <v>71</v>
      </c>
      <c r="AM16" s="107" t="s">
        <v>72</v>
      </c>
      <c r="AN16" s="107" t="s">
        <v>73</v>
      </c>
      <c r="AO16" s="107" t="s">
        <v>74</v>
      </c>
      <c r="AP16" s="162" t="s">
        <v>78</v>
      </c>
      <c r="AQ16" s="107" t="s">
        <v>80</v>
      </c>
      <c r="AR16" s="107" t="s">
        <v>79</v>
      </c>
      <c r="AS16" s="107" t="s">
        <v>133</v>
      </c>
      <c r="AT16" s="107" t="s">
        <v>134</v>
      </c>
      <c r="AU16" s="105" t="s">
        <v>81</v>
      </c>
      <c r="AV16" s="107" t="s">
        <v>83</v>
      </c>
      <c r="AW16" s="107" t="s">
        <v>84</v>
      </c>
      <c r="AX16" s="107" t="s">
        <v>85</v>
      </c>
      <c r="AY16" s="107" t="s">
        <v>132</v>
      </c>
      <c r="AZ16" s="112" t="s">
        <v>135</v>
      </c>
      <c r="BA16" s="108" t="s">
        <v>108</v>
      </c>
      <c r="BB16" s="108" t="s">
        <v>109</v>
      </c>
      <c r="BC16" s="108" t="s">
        <v>110</v>
      </c>
      <c r="BD16" s="108" t="s">
        <v>111</v>
      </c>
      <c r="BE16" s="108" t="s">
        <v>112</v>
      </c>
      <c r="BF16" s="108" t="s">
        <v>104</v>
      </c>
      <c r="BG16" s="108" t="s">
        <v>113</v>
      </c>
      <c r="BH16" s="108" t="s">
        <v>114</v>
      </c>
      <c r="BI16" s="108" t="s">
        <v>115</v>
      </c>
      <c r="BJ16" s="108" t="s">
        <v>116</v>
      </c>
      <c r="BK16" s="108" t="s">
        <v>105</v>
      </c>
      <c r="BM16" s="108" t="s">
        <v>137</v>
      </c>
      <c r="BN16" s="108" t="s">
        <v>138</v>
      </c>
      <c r="BO16" s="108" t="s">
        <v>126</v>
      </c>
      <c r="BP16" s="108" t="s">
        <v>127</v>
      </c>
      <c r="BQ16" s="111" t="s">
        <v>118</v>
      </c>
      <c r="BS16" s="162"/>
      <c r="BT16" s="162"/>
      <c r="BU16" s="162" t="s">
        <v>169</v>
      </c>
      <c r="BV16" s="162" t="s">
        <v>170</v>
      </c>
    </row>
    <row r="17" spans="1:74" ht="36" customHeight="1" x14ac:dyDescent="0.45">
      <c r="A17" s="178">
        <v>1</v>
      </c>
      <c r="B17" s="179"/>
      <c r="C17" s="179"/>
      <c r="D17" s="186"/>
      <c r="E17" s="179"/>
      <c r="F17" s="179"/>
      <c r="H17" s="113" t="str">
        <f t="shared" ref="H17:H42" si="2">IF(ISBLANK(B17),"",SQRT(2*9.81*D17/1000))</f>
        <v/>
      </c>
      <c r="I17" s="113" t="e">
        <f>(2*E17-1)*I18</f>
        <v>#VALUE!</v>
      </c>
      <c r="J17" s="114" t="str">
        <f>IF(ISBLANK(B17),"",I17*C17/100)</f>
        <v/>
      </c>
      <c r="K17" s="113">
        <f>ABS(B18-B17)/2*C17/100</f>
        <v>0</v>
      </c>
      <c r="L17" s="163" t="str">
        <f>IF(ISBLANK(B17),"",I17*K17)</f>
        <v/>
      </c>
      <c r="M17" s="115">
        <f>IF(ISBLANK(B17),0,L17/$H$9)</f>
        <v>0</v>
      </c>
      <c r="N17" s="116" t="str">
        <f>IF(ISBLANK(B17),"",-C17/100)</f>
        <v/>
      </c>
      <c r="O17" s="38">
        <f>E17</f>
        <v>0</v>
      </c>
      <c r="P17" s="38">
        <f>B17</f>
        <v>0</v>
      </c>
      <c r="Q17" s="38" t="e">
        <f t="shared" ref="Q17:Q42" si="3">$O$18*((P17-P$17)/(P$42-P$17))^(1/$O$17-1)</f>
        <v>#VALUE!</v>
      </c>
      <c r="R17" s="38"/>
      <c r="S17" s="38" t="e">
        <f>LOOKUP(2,1/(B17:B42&lt;&gt;""),E17:E42)</f>
        <v>#N/A</v>
      </c>
      <c r="T17" s="38" t="e">
        <f>LOOKUP(2,1/(B17:B42&lt;&gt;""),B17:B42)</f>
        <v>#N/A</v>
      </c>
      <c r="U17" s="38" t="e">
        <f t="shared" ref="U17:U42" si="4">$S$18*((T17-T$17)/(T$42-T$17))^(1/$S$17-1)</f>
        <v>#N/A</v>
      </c>
      <c r="V17" s="38"/>
      <c r="W17" s="38" t="e">
        <f>IF(OR(B16="",B18=""),NA(),I17)</f>
        <v>#N/A</v>
      </c>
      <c r="X17" s="38"/>
      <c r="Y17" s="58">
        <f>P17</f>
        <v>0</v>
      </c>
      <c r="Z17" s="38">
        <v>0</v>
      </c>
      <c r="AA17" s="58">
        <f t="shared" ref="AA17:AA20" si="5">-Z17/100</f>
        <v>0</v>
      </c>
      <c r="AB17" s="38"/>
      <c r="AC17" s="75">
        <f>B17</f>
        <v>0</v>
      </c>
      <c r="AD17" s="117" t="e">
        <f>IF(OR($M17&gt;0.1,$B17=""),NA(),I17)</f>
        <v>#N/A</v>
      </c>
      <c r="AE17" s="117" t="e">
        <f>IF(AND($M17&gt;0.1,$M17&lt;0.15),I17,NA())</f>
        <v>#N/A</v>
      </c>
      <c r="AF17" s="117" t="e">
        <f>IF($M17&lt;0.15,NA(),I17)</f>
        <v>#N/A</v>
      </c>
      <c r="AG17" s="118">
        <f>IF($M17&gt;0.1,NA(),$M17)</f>
        <v>0</v>
      </c>
      <c r="AH17" s="118" t="e">
        <f>IF(AND($M17&gt;0.1,$M17&lt;0.15),$M17,NA())</f>
        <v>#N/A</v>
      </c>
      <c r="AI17" s="118" t="e">
        <f>IF($M17&lt;0.15,NA(),$M17)</f>
        <v>#N/A</v>
      </c>
      <c r="AJ17" s="164">
        <f>AP17</f>
        <v>0</v>
      </c>
      <c r="AL17" s="75">
        <f t="shared" ref="AL17:AL42" si="6">IF(ISBLANK(D17),0,J17)</f>
        <v>0</v>
      </c>
      <c r="AP17" s="165">
        <f>IF(ISNUMBER(L17),L17,0)</f>
        <v>0</v>
      </c>
      <c r="AQ17" s="75" t="e">
        <f>$AA$4/ABS(B18-B17)</f>
        <v>#DIV/0!</v>
      </c>
      <c r="AR17" s="75">
        <f>IF(C17=0,0,$AA$5/C17*100)</f>
        <v>0</v>
      </c>
      <c r="AS17" s="75" t="e">
        <f>IF(I18=0,0,$AA$11/I18)</f>
        <v>#VALUE!</v>
      </c>
      <c r="AT17" s="119">
        <f>IF(D18=0,0,SQRT($AA$6^2/4/(D18/1000)^2+$AA$7^2*D18/1000))</f>
        <v>0</v>
      </c>
      <c r="AU17" s="87" t="e">
        <f>SUM(AV17:AZ17)</f>
        <v>#VALUE!</v>
      </c>
      <c r="AV17" s="75" t="e">
        <f t="shared" ref="AV17:AV42" si="7">AP17^2/$H$9^2*(AQ17^2)</f>
        <v>#VALUE!</v>
      </c>
      <c r="AW17" s="75" t="e">
        <f t="shared" ref="AW17:AW42" si="8">AP17^2/$H$9^2*(AR17^2)</f>
        <v>#VALUE!</v>
      </c>
      <c r="AX17" s="75" t="e">
        <f t="shared" ref="AX17:AX42" si="9">AP17^2/$H$9^2*(AS17^2)</f>
        <v>#VALUE!</v>
      </c>
      <c r="AY17" s="75" t="e">
        <f>AP17^2/$H$9^2*(AT17^2)</f>
        <v>#VALUE!</v>
      </c>
      <c r="AZ17" s="76" t="e">
        <f>AP17^2/$H$9^2*($AA$8^2)</f>
        <v>#VALUE!</v>
      </c>
      <c r="BA17" s="35">
        <f>IF(C17=0,0,AN18*TAN($AA$9/180*PI())/(4*SQRT(3)*C17/100))</f>
        <v>0</v>
      </c>
      <c r="BB17" s="35">
        <f t="shared" ref="BB17:BB42" si="10">IF(OR(ISBLANK(E17),ISBLANK(B18)),MAX(0,$C17/100-$AN17/2*TAN($AC$9)),0)</f>
        <v>0</v>
      </c>
      <c r="BC17" s="35">
        <f t="shared" ref="BC17:BC42" si="11">IF(OR(ISBLANK(E17),ISBLANK(B16)),MAX(0,$C17/100-$AN18/2*TAN($AC$9)),0)</f>
        <v>0</v>
      </c>
      <c r="BD17" s="35">
        <f t="shared" ref="BD17:BD42" si="12">IF(OR(ISBLANK(E17),ISBLANK(B18)),$C17/100+$AN17/2*TAN($AC$9),0)</f>
        <v>0</v>
      </c>
      <c r="BE17" s="35">
        <f t="shared" ref="BE17:BE42" si="13">IF(OR(ISBLANK(E17),ISBLANK(B16)),$C17/100+$AN18/2*TAN($AC$9),0)</f>
        <v>0</v>
      </c>
      <c r="BF17" s="35">
        <f t="shared" ref="BF17:BF42" si="14">IF(C17=0,0,IF(ISBLANK($B17),0,((BD17-BB17)*$AN17+(BE17-BC17)*$AN18)/(($AN17+$AN18)*4*SQRT(3)*$C17/100)))</f>
        <v>0</v>
      </c>
      <c r="BG17" s="35">
        <f t="shared" ref="BG17:BG42" si="15">IF(C17=0,0,IF(ISBLANK($B17),0,$I17*SQRT(BB17/$C17*100)))</f>
        <v>0</v>
      </c>
      <c r="BH17" s="35">
        <f t="shared" ref="BH17:BH42" si="16">IF(C17=0,0,IF(ISBLANK($B17),0,$I17*SQRT(BC17/$C17*100)))</f>
        <v>0</v>
      </c>
      <c r="BI17" s="35">
        <f t="shared" ref="BI17:BI42" si="17">IF(C17=0,0,IF(ISBLANK($B17),0,$I17*SQRT(BD17/$C17*100)))</f>
        <v>0</v>
      </c>
      <c r="BJ17" s="35">
        <f t="shared" ref="BJ17:BJ42" si="18">IF(C17=0,0,IF(ISBLANK($B17),0,$I17*SQRT(BE17/$C17*100)))</f>
        <v>0</v>
      </c>
      <c r="BK17" s="35" t="e">
        <f>IF(I17=0,0,IF(ISBLANK($B17),0,((BI17-BG17)*$AN17+(BJ17-BH17)*$AN18)/(($AN17+$AN18)*4*SQRT(3)*$I17)))</f>
        <v>#VALUE!</v>
      </c>
      <c r="BM17" s="35" t="e">
        <f>$AP17^2/$H$9^2*(BF17^2)</f>
        <v>#VALUE!</v>
      </c>
      <c r="BN17" s="35" t="e">
        <f>$AP17^2/$H$9^2*(BK17^2)</f>
        <v>#VALUE!</v>
      </c>
      <c r="BO17" s="35" t="e">
        <f>ATAN(ABS(C18-C17)/100/AN18)</f>
        <v>#DIV/0!</v>
      </c>
      <c r="BP17" s="35" t="e">
        <f t="shared" ref="BP17:BP42" si="19">BO17*L17</f>
        <v>#DIV/0!</v>
      </c>
      <c r="BQ17" s="47" t="e">
        <f t="shared" ref="BQ17:BQ42" si="20">SUM(AV17:AZ17,BM17,BN17)</f>
        <v>#VALUE!</v>
      </c>
      <c r="BS17" s="159">
        <v>1</v>
      </c>
      <c r="BT17" s="159">
        <v>1</v>
      </c>
      <c r="BU17" s="166" t="str">
        <f>IF(ISNUMBER(BV17),IF(OR(ISBLANK(INDEX(B$17:B$43,BS17)),ISBLANK(INDEX(B$17:B$43,BT17))),INDEX(B$17:B$43,BS17),(INDEX(B$17:B$43,BS17)+INDEX(B$17:B$43,BT17))/2),BU16)</f>
        <v>x</v>
      </c>
      <c r="BV17" s="159" t="str">
        <f>INDEX(N$17:N$42,BS17)</f>
        <v/>
      </c>
    </row>
    <row r="18" spans="1:74" ht="36" customHeight="1" x14ac:dyDescent="0.45">
      <c r="A18" s="180">
        <v>2</v>
      </c>
      <c r="B18" s="181"/>
      <c r="C18" s="181"/>
      <c r="D18" s="181"/>
      <c r="E18" s="181"/>
      <c r="F18" s="181"/>
      <c r="H18" s="113" t="str">
        <f>IF(ISBLANK(B18),"",SQRT(2*9.81*D18/1000))</f>
        <v/>
      </c>
      <c r="I18" s="113" t="str">
        <f>IF(ISBLANK(B19),IF(ISBLANK(B18),"",(2*E18-1)*I17),MAX(0,$H$5*H18+$I$5))</f>
        <v/>
      </c>
      <c r="J18" s="114" t="str">
        <f t="shared" ref="J18:J42" si="21">IF(ISBLANK(B18),"",I18*C18/100)</f>
        <v/>
      </c>
      <c r="K18" s="113" t="str">
        <f>IF(ISBLANK(B18),"",IF(ISBLANK(B19),ABS(B17-B18)/2*C18/100,ABS(B19-B17)/2*C18/100))</f>
        <v/>
      </c>
      <c r="L18" s="163" t="str">
        <f t="shared" ref="L18:L30" si="22">IF(ISBLANK(B18),"",I18*K18)</f>
        <v/>
      </c>
      <c r="M18" s="115">
        <f t="shared" ref="M18:M42" si="23">IF(ISBLANK(B18),0,L18/$H$9)</f>
        <v>0</v>
      </c>
      <c r="N18" s="116" t="str">
        <f t="shared" ref="N18:N42" si="24">IF(ISBLANK(B18),"",-C18/100)</f>
        <v/>
      </c>
      <c r="O18" s="39" t="str">
        <f>I18</f>
        <v/>
      </c>
      <c r="P18" s="38">
        <f t="shared" ref="P18:P41" si="25">(P$42-P$17)/25+P17</f>
        <v>0</v>
      </c>
      <c r="Q18" s="38" t="e">
        <f t="shared" si="3"/>
        <v>#VALUE!</v>
      </c>
      <c r="R18" s="38"/>
      <c r="S18" s="39" t="e">
        <f>LOOKUP(2,1/(D17:D42&lt;&gt;""),I17:I42)</f>
        <v>#N/A</v>
      </c>
      <c r="T18" s="38" t="e">
        <f t="shared" ref="T18:T41" si="26">(T$42-T$17)/25+T17</f>
        <v>#N/A</v>
      </c>
      <c r="U18" s="38" t="e">
        <f t="shared" si="4"/>
        <v>#N/A</v>
      </c>
      <c r="V18" s="38"/>
      <c r="W18" s="38" t="e">
        <f>IF(OR(B17="",B19=""),NA(),I18)</f>
        <v>#N/A</v>
      </c>
      <c r="X18" s="38"/>
      <c r="Y18" s="58">
        <f>P17</f>
        <v>0</v>
      </c>
      <c r="Z18" s="38">
        <f>C17</f>
        <v>0</v>
      </c>
      <c r="AA18" s="58">
        <f t="shared" si="5"/>
        <v>0</v>
      </c>
      <c r="AB18" s="38"/>
      <c r="AC18" s="75">
        <f t="shared" ref="AC18:AC42" si="27">B18</f>
        <v>0</v>
      </c>
      <c r="AD18" s="117" t="e">
        <f t="shared" ref="AD18:AD42" si="28">IF(OR($M18&gt;0.1,$B18=""),NA(),I18)</f>
        <v>#N/A</v>
      </c>
      <c r="AE18" s="117" t="e">
        <f t="shared" ref="AE18:AE42" si="29">IF(AND($M18&gt;0.1,$M18&lt;0.15),I18,NA())</f>
        <v>#N/A</v>
      </c>
      <c r="AF18" s="117" t="e">
        <f t="shared" ref="AF18:AF42" si="30">IF($M18&lt;0.15,NA(),I18)</f>
        <v>#N/A</v>
      </c>
      <c r="AG18" s="118">
        <f t="shared" ref="AG18:AG42" si="31">IF($M18&gt;0.1,NA(),$M18)</f>
        <v>0</v>
      </c>
      <c r="AH18" s="118" t="e">
        <f t="shared" ref="AH18:AH42" si="32">IF(AND($M18&gt;0.1,$M18&lt;0.15),$M18,NA())</f>
        <v>#N/A</v>
      </c>
      <c r="AI18" s="118" t="e">
        <f t="shared" ref="AI18:AI42" si="33">IF($M18&lt;0.15,NA(),$M18)</f>
        <v>#N/A</v>
      </c>
      <c r="AJ18" s="164">
        <f>IF(D18="",AP18,0)</f>
        <v>0</v>
      </c>
      <c r="AL18" s="75">
        <f t="shared" si="6"/>
        <v>0</v>
      </c>
      <c r="AM18" s="75">
        <f>ABS(AL18-AL17)</f>
        <v>0</v>
      </c>
      <c r="AN18" s="75">
        <f>IF(ISBLANK(B18),0,ABS(B18-B17))</f>
        <v>0</v>
      </c>
      <c r="AO18" s="75">
        <f>AM18*AN18</f>
        <v>0</v>
      </c>
      <c r="AP18" s="165">
        <f t="shared" ref="AP18:AP42" si="34">IF(ISNUMBER(L18),L18,0)</f>
        <v>0</v>
      </c>
      <c r="AQ18" s="75">
        <f>IF(AP18=0,0,$AA$4/IF(ISBLANK(B19),ABS(B18-B17)/2,ABS(B19-B17)/2))</f>
        <v>0</v>
      </c>
      <c r="AR18" s="75">
        <f>IF(AP18=0,0,IF(C18=0,0,$AA$5/C18*100))</f>
        <v>0</v>
      </c>
      <c r="AS18" s="75">
        <f>IF(AP18=0,0,IF(ISBLANK(D18),$AA$11/I17,$AA$11/I18))</f>
        <v>0</v>
      </c>
      <c r="AT18" s="120">
        <f t="shared" ref="AT18:AT42" si="35">IF(AP18=0,0,IF(ISBLANK(B19),SQRT($AA$6^2/4/(D17/1000)^2+$AA$7^2*D17/1000),IF(AP18=0,0,SQRT($AA$6^2/4/(D18/1000)^2+$AA$7^2*D18/1000))))</f>
        <v>0</v>
      </c>
      <c r="AU18" s="87" t="e">
        <f t="shared" ref="AU18:AU42" si="36">SUM(AV18:AZ18)</f>
        <v>#VALUE!</v>
      </c>
      <c r="AV18" s="75" t="e">
        <f t="shared" si="7"/>
        <v>#VALUE!</v>
      </c>
      <c r="AW18" s="75" t="e">
        <f t="shared" si="8"/>
        <v>#VALUE!</v>
      </c>
      <c r="AX18" s="75" t="e">
        <f t="shared" si="9"/>
        <v>#VALUE!</v>
      </c>
      <c r="AY18" s="75" t="e">
        <f t="shared" ref="AY18:AY42" si="37">AP18^2/$H$9^2*(AT18^2)</f>
        <v>#VALUE!</v>
      </c>
      <c r="AZ18" s="76">
        <f t="shared" ref="AZ18:AZ42" si="38">IF(AP18=0,0,IF(ISBLANK(B19),AP18^2/$H$9^2*($AA$8^2),0))</f>
        <v>0</v>
      </c>
      <c r="BA18" s="35">
        <f t="shared" ref="BA18:BA42" si="39">IF(C18=0,0,IF(ISBLANK(B18),0,IF(ISBLANK(E18),(AN18^2+AN19^2)*TAN($AA$9/180*PI())/(4*SQRT(3)*C18/100*(AN18+AN19)),AN18*TAN($AA$9/180*PI())/(4*SQRT(3)*C18/100))))</f>
        <v>0</v>
      </c>
      <c r="BB18" s="35">
        <f t="shared" si="10"/>
        <v>0</v>
      </c>
      <c r="BC18" s="35">
        <f t="shared" si="11"/>
        <v>0</v>
      </c>
      <c r="BD18" s="35">
        <f t="shared" si="12"/>
        <v>0</v>
      </c>
      <c r="BE18" s="35">
        <f t="shared" si="13"/>
        <v>0</v>
      </c>
      <c r="BF18" s="35">
        <f t="shared" si="14"/>
        <v>0</v>
      </c>
      <c r="BG18" s="35">
        <f t="shared" si="15"/>
        <v>0</v>
      </c>
      <c r="BH18" s="35">
        <f t="shared" si="16"/>
        <v>0</v>
      </c>
      <c r="BI18" s="35">
        <f t="shared" si="17"/>
        <v>0</v>
      </c>
      <c r="BJ18" s="35">
        <f t="shared" si="18"/>
        <v>0</v>
      </c>
      <c r="BK18" s="35">
        <f t="shared" ref="BK18:BK42" si="40">IF(I18=0,0,IF(C18=0,0,IF(ISBLANK($B18),0,((BI18-BG18)*$AN18+(BJ18-BH18)*$AN19)/(($AN18+$AN19)*4*SQRT(3)*$I18))))</f>
        <v>0</v>
      </c>
      <c r="BM18" s="35" t="e">
        <f t="shared" ref="BM18:BM42" si="41">$AP18^2/$H$9^2*(BF18^2)</f>
        <v>#VALUE!</v>
      </c>
      <c r="BN18" s="35" t="e">
        <f t="shared" ref="BN18:BN42" si="42">$AP18^2/$H$9^2*(BK18^2)</f>
        <v>#VALUE!</v>
      </c>
      <c r="BO18" s="35" t="e">
        <f>IF(ISBLANK($B18),NA(),IF(AN19=0,ATAN(ABS(C18-C17)/100/AN18),(ATAN(ABS(C18-C17)/100/AN18)+ATAN(ABS(C19-C18)/100/AN19))/2))</f>
        <v>#N/A</v>
      </c>
      <c r="BP18" s="35" t="e">
        <f t="shared" si="19"/>
        <v>#N/A</v>
      </c>
      <c r="BQ18" s="47" t="e">
        <f t="shared" si="20"/>
        <v>#VALUE!</v>
      </c>
      <c r="BS18" s="167">
        <v>1</v>
      </c>
      <c r="BT18" s="167">
        <f>BS18+1</f>
        <v>2</v>
      </c>
      <c r="BU18" s="166" t="str">
        <f t="shared" ref="BU18:BU81" si="43">IF(ISNUMBER(BV18),IF(OR(ISBLANK(INDEX(B$17:B$43,BS18)),ISBLANK(INDEX(B$17:B$43,BT18))),INDEX(B$17:B$43,BS18),(INDEX(B$17:B$43,BS18)+INDEX(B$17:B$43,BT18))/2),BU17)</f>
        <v>x</v>
      </c>
      <c r="BV18" s="167" t="str">
        <f t="shared" ref="BV18:BV81" si="44">INDEX(N$17:N$42,BS18)</f>
        <v/>
      </c>
    </row>
    <row r="19" spans="1:74" ht="36" customHeight="1" x14ac:dyDescent="0.45">
      <c r="A19" s="178">
        <v>3</v>
      </c>
      <c r="B19" s="179"/>
      <c r="C19" s="179"/>
      <c r="D19" s="179"/>
      <c r="E19" s="179"/>
      <c r="F19" s="179"/>
      <c r="H19" s="113" t="str">
        <f t="shared" si="2"/>
        <v/>
      </c>
      <c r="I19" s="113" t="str">
        <f>IF(ISBLANK(B20),IF(ISBLANK(B19),"",(2*E19-1)*I18),MAX(0,$H$5*H19+$I$5))</f>
        <v/>
      </c>
      <c r="J19" s="114" t="str">
        <f t="shared" si="21"/>
        <v/>
      </c>
      <c r="K19" s="113" t="str">
        <f t="shared" ref="K19:K42" si="45">IF(ISBLANK(B19),"",IF(ISBLANK(B20),ABS(B18-B19)/2*C19/100,ABS(B20-B18)/2*C19/100))</f>
        <v/>
      </c>
      <c r="L19" s="163" t="str">
        <f t="shared" si="22"/>
        <v/>
      </c>
      <c r="M19" s="115">
        <f t="shared" si="23"/>
        <v>0</v>
      </c>
      <c r="N19" s="116" t="str">
        <f t="shared" si="24"/>
        <v/>
      </c>
      <c r="O19" s="38"/>
      <c r="P19" s="38">
        <f t="shared" si="25"/>
        <v>0</v>
      </c>
      <c r="Q19" s="38" t="e">
        <f t="shared" si="3"/>
        <v>#VALUE!</v>
      </c>
      <c r="R19" s="38"/>
      <c r="S19" s="38"/>
      <c r="T19" s="38" t="e">
        <f t="shared" si="26"/>
        <v>#N/A</v>
      </c>
      <c r="U19" s="38" t="e">
        <f t="shared" si="4"/>
        <v>#N/A</v>
      </c>
      <c r="V19" s="38"/>
      <c r="W19" s="38" t="e">
        <f t="shared" ref="W19:W42" si="46">IF(OR(B18="",B20=""),NA(),I19)</f>
        <v>#N/A</v>
      </c>
      <c r="X19" s="38"/>
      <c r="Y19" s="58"/>
      <c r="Z19" s="38"/>
      <c r="AA19" s="58"/>
      <c r="AB19" s="38"/>
      <c r="AC19" s="75">
        <f t="shared" si="27"/>
        <v>0</v>
      </c>
      <c r="AD19" s="117" t="e">
        <f t="shared" si="28"/>
        <v>#N/A</v>
      </c>
      <c r="AE19" s="117" t="e">
        <f t="shared" si="29"/>
        <v>#N/A</v>
      </c>
      <c r="AF19" s="117" t="e">
        <f t="shared" si="30"/>
        <v>#N/A</v>
      </c>
      <c r="AG19" s="118">
        <f t="shared" si="31"/>
        <v>0</v>
      </c>
      <c r="AH19" s="118" t="e">
        <f t="shared" si="32"/>
        <v>#N/A</v>
      </c>
      <c r="AI19" s="118" t="e">
        <f t="shared" si="33"/>
        <v>#N/A</v>
      </c>
      <c r="AJ19" s="164">
        <f t="shared" ref="AJ19:AJ42" si="47">IF(D19="",AP19,0)</f>
        <v>0</v>
      </c>
      <c r="AL19" s="75">
        <f t="shared" si="6"/>
        <v>0</v>
      </c>
      <c r="AM19" s="75">
        <f t="shared" ref="AM19:AM42" si="48">ABS(AL19-AL18)</f>
        <v>0</v>
      </c>
      <c r="AN19" s="75">
        <f t="shared" ref="AN19:AN42" si="49">IF(ISBLANK(B19),0,ABS(B19-B18))</f>
        <v>0</v>
      </c>
      <c r="AO19" s="75">
        <f t="shared" ref="AO19:AO42" si="50">AM19*AN19</f>
        <v>0</v>
      </c>
      <c r="AP19" s="165">
        <f t="shared" si="34"/>
        <v>0</v>
      </c>
      <c r="AQ19" s="75">
        <f t="shared" ref="AQ19:AQ42" si="51">IF(AP19=0,0,$AA$4/IF(ISBLANK(B20),ABS(B19-B18)/2,ABS(B20-B18)/2))</f>
        <v>0</v>
      </c>
      <c r="AR19" s="75">
        <f t="shared" ref="AR19:AR42" si="52">IF(AP19=0,0,IF(C19=0,0,$AA$5/C19*100))</f>
        <v>0</v>
      </c>
      <c r="AS19" s="75">
        <f t="shared" ref="AS19:AS42" si="53">IF(AP19=0,0,IF(ISBLANK(D19),$AA$11/I18,$AA$11/I19))</f>
        <v>0</v>
      </c>
      <c r="AT19" s="120">
        <f t="shared" si="35"/>
        <v>0</v>
      </c>
      <c r="AU19" s="87" t="e">
        <f t="shared" si="36"/>
        <v>#VALUE!</v>
      </c>
      <c r="AV19" s="75" t="e">
        <f t="shared" si="7"/>
        <v>#VALUE!</v>
      </c>
      <c r="AW19" s="75" t="e">
        <f t="shared" si="8"/>
        <v>#VALUE!</v>
      </c>
      <c r="AX19" s="75" t="e">
        <f t="shared" si="9"/>
        <v>#VALUE!</v>
      </c>
      <c r="AY19" s="75" t="e">
        <f t="shared" si="37"/>
        <v>#VALUE!</v>
      </c>
      <c r="AZ19" s="76">
        <f t="shared" si="38"/>
        <v>0</v>
      </c>
      <c r="BA19" s="35">
        <f t="shared" si="39"/>
        <v>0</v>
      </c>
      <c r="BB19" s="35">
        <f t="shared" si="10"/>
        <v>0</v>
      </c>
      <c r="BC19" s="35">
        <f t="shared" si="11"/>
        <v>0</v>
      </c>
      <c r="BD19" s="35">
        <f t="shared" si="12"/>
        <v>0</v>
      </c>
      <c r="BE19" s="35">
        <f t="shared" si="13"/>
        <v>0</v>
      </c>
      <c r="BF19" s="35">
        <f t="shared" si="14"/>
        <v>0</v>
      </c>
      <c r="BG19" s="35">
        <f t="shared" si="15"/>
        <v>0</v>
      </c>
      <c r="BH19" s="35">
        <f t="shared" si="16"/>
        <v>0</v>
      </c>
      <c r="BI19" s="35">
        <f t="shared" si="17"/>
        <v>0</v>
      </c>
      <c r="BJ19" s="35">
        <f t="shared" si="18"/>
        <v>0</v>
      </c>
      <c r="BK19" s="35">
        <f t="shared" si="40"/>
        <v>0</v>
      </c>
      <c r="BM19" s="35" t="e">
        <f t="shared" si="41"/>
        <v>#VALUE!</v>
      </c>
      <c r="BN19" s="35" t="e">
        <f t="shared" si="42"/>
        <v>#VALUE!</v>
      </c>
      <c r="BO19" s="35" t="e">
        <f t="shared" ref="BO19:BO42" si="54">IF(ISBLANK($B19),NA(),IF(AN20=0,ATAN(ABS(C19-C18)/100/AN19),(ATAN(ABS(C19-C18)/100/AN19)+ATAN(ABS(C20-C19)/100/AN20))/2))</f>
        <v>#N/A</v>
      </c>
      <c r="BP19" s="35" t="e">
        <f t="shared" si="19"/>
        <v>#N/A</v>
      </c>
      <c r="BQ19" s="47" t="e">
        <f t="shared" si="20"/>
        <v>#VALUE!</v>
      </c>
      <c r="BS19" s="167">
        <v>1</v>
      </c>
      <c r="BT19" s="167">
        <f>BT18</f>
        <v>2</v>
      </c>
      <c r="BU19" s="166" t="str">
        <f t="shared" si="43"/>
        <v>x</v>
      </c>
      <c r="BV19" s="167" t="str">
        <f>IF(ISBLANK(INDEX(B$17:B$42,BS19)),BV18,$BV$15)</f>
        <v/>
      </c>
    </row>
    <row r="20" spans="1:74" ht="36" customHeight="1" x14ac:dyDescent="0.45">
      <c r="A20" s="180">
        <v>4</v>
      </c>
      <c r="B20" s="181"/>
      <c r="C20" s="181"/>
      <c r="D20" s="181"/>
      <c r="E20" s="181"/>
      <c r="F20" s="181"/>
      <c r="H20" s="113" t="str">
        <f t="shared" si="2"/>
        <v/>
      </c>
      <c r="I20" s="113" t="str">
        <f t="shared" ref="I20:I42" si="55">IF(ISBLANK(B21),IF(ISBLANK(B20),"",(2*E20-1)*I19),MAX(0,$H$5*H20+$I$5))</f>
        <v/>
      </c>
      <c r="J20" s="114" t="str">
        <f t="shared" si="21"/>
        <v/>
      </c>
      <c r="K20" s="113" t="str">
        <f t="shared" si="45"/>
        <v/>
      </c>
      <c r="L20" s="163" t="str">
        <f t="shared" si="22"/>
        <v/>
      </c>
      <c r="M20" s="115">
        <f t="shared" si="23"/>
        <v>0</v>
      </c>
      <c r="N20" s="116" t="str">
        <f t="shared" si="24"/>
        <v/>
      </c>
      <c r="O20" s="38"/>
      <c r="P20" s="38">
        <f t="shared" si="25"/>
        <v>0</v>
      </c>
      <c r="Q20" s="38" t="e">
        <f t="shared" si="3"/>
        <v>#VALUE!</v>
      </c>
      <c r="R20" s="38"/>
      <c r="S20" s="38"/>
      <c r="T20" s="38" t="e">
        <f t="shared" si="26"/>
        <v>#N/A</v>
      </c>
      <c r="U20" s="38" t="e">
        <f t="shared" si="4"/>
        <v>#N/A</v>
      </c>
      <c r="V20" s="38"/>
      <c r="W20" s="38" t="e">
        <f t="shared" si="46"/>
        <v>#N/A</v>
      </c>
      <c r="X20" s="38"/>
      <c r="Y20" s="58" t="e">
        <f>T17</f>
        <v>#N/A</v>
      </c>
      <c r="Z20" s="38">
        <v>0</v>
      </c>
      <c r="AA20" s="58">
        <f t="shared" si="5"/>
        <v>0</v>
      </c>
      <c r="AB20" s="38"/>
      <c r="AC20" s="75">
        <f t="shared" si="27"/>
        <v>0</v>
      </c>
      <c r="AD20" s="117" t="e">
        <f t="shared" si="28"/>
        <v>#N/A</v>
      </c>
      <c r="AE20" s="117" t="e">
        <f t="shared" si="29"/>
        <v>#N/A</v>
      </c>
      <c r="AF20" s="117" t="e">
        <f t="shared" si="30"/>
        <v>#N/A</v>
      </c>
      <c r="AG20" s="118">
        <f t="shared" si="31"/>
        <v>0</v>
      </c>
      <c r="AH20" s="118" t="e">
        <f t="shared" si="32"/>
        <v>#N/A</v>
      </c>
      <c r="AI20" s="118" t="e">
        <f t="shared" si="33"/>
        <v>#N/A</v>
      </c>
      <c r="AJ20" s="164">
        <f t="shared" si="47"/>
        <v>0</v>
      </c>
      <c r="AL20" s="75">
        <f t="shared" si="6"/>
        <v>0</v>
      </c>
      <c r="AM20" s="75">
        <f t="shared" si="48"/>
        <v>0</v>
      </c>
      <c r="AN20" s="75">
        <f t="shared" si="49"/>
        <v>0</v>
      </c>
      <c r="AO20" s="75">
        <f t="shared" si="50"/>
        <v>0</v>
      </c>
      <c r="AP20" s="165">
        <f t="shared" si="34"/>
        <v>0</v>
      </c>
      <c r="AQ20" s="75">
        <f t="shared" si="51"/>
        <v>0</v>
      </c>
      <c r="AR20" s="75">
        <f t="shared" si="52"/>
        <v>0</v>
      </c>
      <c r="AS20" s="75">
        <f t="shared" si="53"/>
        <v>0</v>
      </c>
      <c r="AT20" s="120">
        <f t="shared" si="35"/>
        <v>0</v>
      </c>
      <c r="AU20" s="87" t="e">
        <f t="shared" si="36"/>
        <v>#VALUE!</v>
      </c>
      <c r="AV20" s="75" t="e">
        <f t="shared" si="7"/>
        <v>#VALUE!</v>
      </c>
      <c r="AW20" s="75" t="e">
        <f t="shared" si="8"/>
        <v>#VALUE!</v>
      </c>
      <c r="AX20" s="75" t="e">
        <f t="shared" si="9"/>
        <v>#VALUE!</v>
      </c>
      <c r="AY20" s="75" t="e">
        <f t="shared" si="37"/>
        <v>#VALUE!</v>
      </c>
      <c r="AZ20" s="76">
        <f t="shared" si="38"/>
        <v>0</v>
      </c>
      <c r="BA20" s="35">
        <f t="shared" si="39"/>
        <v>0</v>
      </c>
      <c r="BB20" s="35">
        <f t="shared" si="10"/>
        <v>0</v>
      </c>
      <c r="BC20" s="35">
        <f t="shared" si="11"/>
        <v>0</v>
      </c>
      <c r="BD20" s="35">
        <f t="shared" si="12"/>
        <v>0</v>
      </c>
      <c r="BE20" s="35">
        <f t="shared" si="13"/>
        <v>0</v>
      </c>
      <c r="BF20" s="35">
        <f t="shared" si="14"/>
        <v>0</v>
      </c>
      <c r="BG20" s="35">
        <f t="shared" si="15"/>
        <v>0</v>
      </c>
      <c r="BH20" s="35">
        <f t="shared" si="16"/>
        <v>0</v>
      </c>
      <c r="BI20" s="35">
        <f t="shared" si="17"/>
        <v>0</v>
      </c>
      <c r="BJ20" s="35">
        <f t="shared" si="18"/>
        <v>0</v>
      </c>
      <c r="BK20" s="35">
        <f t="shared" si="40"/>
        <v>0</v>
      </c>
      <c r="BM20" s="35" t="e">
        <f t="shared" si="41"/>
        <v>#VALUE!</v>
      </c>
      <c r="BN20" s="35" t="e">
        <f t="shared" si="42"/>
        <v>#VALUE!</v>
      </c>
      <c r="BO20" s="35" t="e">
        <f t="shared" si="54"/>
        <v>#N/A</v>
      </c>
      <c r="BP20" s="35" t="e">
        <f t="shared" si="19"/>
        <v>#N/A</v>
      </c>
      <c r="BQ20" s="47" t="e">
        <f t="shared" si="20"/>
        <v>#VALUE!</v>
      </c>
      <c r="BS20" s="167">
        <v>2</v>
      </c>
      <c r="BT20" s="167">
        <f>BT18-1</f>
        <v>1</v>
      </c>
      <c r="BU20" s="166" t="str">
        <f t="shared" si="43"/>
        <v>x</v>
      </c>
      <c r="BV20" s="167" t="str">
        <f>INDEX(N$17:N$42,BS20)</f>
        <v/>
      </c>
    </row>
    <row r="21" spans="1:74" ht="36" customHeight="1" x14ac:dyDescent="0.45">
      <c r="A21" s="178">
        <v>5</v>
      </c>
      <c r="B21" s="179"/>
      <c r="C21" s="179"/>
      <c r="D21" s="179"/>
      <c r="E21" s="179"/>
      <c r="F21" s="179"/>
      <c r="H21" s="113" t="str">
        <f t="shared" si="2"/>
        <v/>
      </c>
      <c r="I21" s="113" t="str">
        <f t="shared" si="55"/>
        <v/>
      </c>
      <c r="J21" s="114" t="str">
        <f t="shared" si="21"/>
        <v/>
      </c>
      <c r="K21" s="113" t="str">
        <f t="shared" si="45"/>
        <v/>
      </c>
      <c r="L21" s="163" t="str">
        <f t="shared" si="22"/>
        <v/>
      </c>
      <c r="M21" s="115">
        <f t="shared" si="23"/>
        <v>0</v>
      </c>
      <c r="N21" s="116" t="str">
        <f t="shared" si="24"/>
        <v/>
      </c>
      <c r="O21" s="38"/>
      <c r="P21" s="38">
        <f t="shared" si="25"/>
        <v>0</v>
      </c>
      <c r="Q21" s="38" t="e">
        <f t="shared" si="3"/>
        <v>#VALUE!</v>
      </c>
      <c r="R21" s="38"/>
      <c r="S21" s="38"/>
      <c r="T21" s="38" t="e">
        <f t="shared" si="26"/>
        <v>#N/A</v>
      </c>
      <c r="U21" s="38" t="e">
        <f t="shared" si="4"/>
        <v>#N/A</v>
      </c>
      <c r="V21" s="38"/>
      <c r="W21" s="38" t="e">
        <f t="shared" si="46"/>
        <v>#N/A</v>
      </c>
      <c r="X21" s="38"/>
      <c r="Y21" s="58" t="e">
        <f>T17</f>
        <v>#N/A</v>
      </c>
      <c r="Z21" s="38" t="e">
        <f>LOOKUP(2,1/(B17:B42&lt;&gt;""),C17:C42)</f>
        <v>#N/A</v>
      </c>
      <c r="AA21" s="58" t="e">
        <f>-Z21/100</f>
        <v>#N/A</v>
      </c>
      <c r="AB21" s="38"/>
      <c r="AC21" s="75">
        <f t="shared" si="27"/>
        <v>0</v>
      </c>
      <c r="AD21" s="117" t="e">
        <f t="shared" si="28"/>
        <v>#N/A</v>
      </c>
      <c r="AE21" s="117" t="e">
        <f t="shared" si="29"/>
        <v>#N/A</v>
      </c>
      <c r="AF21" s="117" t="e">
        <f t="shared" si="30"/>
        <v>#N/A</v>
      </c>
      <c r="AG21" s="118">
        <f t="shared" si="31"/>
        <v>0</v>
      </c>
      <c r="AH21" s="118" t="e">
        <f t="shared" si="32"/>
        <v>#N/A</v>
      </c>
      <c r="AI21" s="118" t="e">
        <f t="shared" si="33"/>
        <v>#N/A</v>
      </c>
      <c r="AJ21" s="164">
        <f t="shared" si="47"/>
        <v>0</v>
      </c>
      <c r="AL21" s="75">
        <f t="shared" si="6"/>
        <v>0</v>
      </c>
      <c r="AM21" s="75">
        <f t="shared" si="48"/>
        <v>0</v>
      </c>
      <c r="AN21" s="75">
        <f t="shared" si="49"/>
        <v>0</v>
      </c>
      <c r="AO21" s="75">
        <f t="shared" si="50"/>
        <v>0</v>
      </c>
      <c r="AP21" s="165">
        <f t="shared" si="34"/>
        <v>0</v>
      </c>
      <c r="AQ21" s="75">
        <f t="shared" si="51"/>
        <v>0</v>
      </c>
      <c r="AR21" s="75">
        <f t="shared" si="52"/>
        <v>0</v>
      </c>
      <c r="AS21" s="75">
        <f t="shared" si="53"/>
        <v>0</v>
      </c>
      <c r="AT21" s="120">
        <f t="shared" si="35"/>
        <v>0</v>
      </c>
      <c r="AU21" s="87" t="e">
        <f t="shared" si="36"/>
        <v>#VALUE!</v>
      </c>
      <c r="AV21" s="75" t="e">
        <f t="shared" si="7"/>
        <v>#VALUE!</v>
      </c>
      <c r="AW21" s="75" t="e">
        <f t="shared" si="8"/>
        <v>#VALUE!</v>
      </c>
      <c r="AX21" s="75" t="e">
        <f t="shared" si="9"/>
        <v>#VALUE!</v>
      </c>
      <c r="AY21" s="75" t="e">
        <f t="shared" si="37"/>
        <v>#VALUE!</v>
      </c>
      <c r="AZ21" s="76">
        <f t="shared" si="38"/>
        <v>0</v>
      </c>
      <c r="BA21" s="35">
        <f t="shared" si="39"/>
        <v>0</v>
      </c>
      <c r="BB21" s="35">
        <f t="shared" si="10"/>
        <v>0</v>
      </c>
      <c r="BC21" s="35">
        <f t="shared" si="11"/>
        <v>0</v>
      </c>
      <c r="BD21" s="35">
        <f t="shared" si="12"/>
        <v>0</v>
      </c>
      <c r="BE21" s="35">
        <f t="shared" si="13"/>
        <v>0</v>
      </c>
      <c r="BF21" s="35">
        <f t="shared" si="14"/>
        <v>0</v>
      </c>
      <c r="BG21" s="35">
        <f t="shared" si="15"/>
        <v>0</v>
      </c>
      <c r="BH21" s="35">
        <f t="shared" si="16"/>
        <v>0</v>
      </c>
      <c r="BI21" s="35">
        <f t="shared" si="17"/>
        <v>0</v>
      </c>
      <c r="BJ21" s="35">
        <f t="shared" si="18"/>
        <v>0</v>
      </c>
      <c r="BK21" s="35">
        <f t="shared" si="40"/>
        <v>0</v>
      </c>
      <c r="BM21" s="35" t="e">
        <f t="shared" si="41"/>
        <v>#VALUE!</v>
      </c>
      <c r="BN21" s="35" t="e">
        <f t="shared" si="42"/>
        <v>#VALUE!</v>
      </c>
      <c r="BO21" s="35" t="e">
        <f t="shared" si="54"/>
        <v>#N/A</v>
      </c>
      <c r="BP21" s="35" t="e">
        <f t="shared" si="19"/>
        <v>#N/A</v>
      </c>
      <c r="BQ21" s="47" t="e">
        <f t="shared" si="20"/>
        <v>#VALUE!</v>
      </c>
      <c r="BS21" s="159">
        <f>BS18+1</f>
        <v>2</v>
      </c>
      <c r="BT21" s="159">
        <f>BT18+1</f>
        <v>3</v>
      </c>
      <c r="BU21" s="166" t="str">
        <f t="shared" si="43"/>
        <v>x</v>
      </c>
      <c r="BV21" s="167" t="str">
        <f t="shared" si="44"/>
        <v/>
      </c>
    </row>
    <row r="22" spans="1:74" ht="36" customHeight="1" x14ac:dyDescent="0.45">
      <c r="A22" s="180">
        <v>6</v>
      </c>
      <c r="B22" s="181"/>
      <c r="C22" s="181"/>
      <c r="D22" s="181"/>
      <c r="E22" s="181"/>
      <c r="F22" s="181"/>
      <c r="H22" s="113" t="str">
        <f t="shared" si="2"/>
        <v/>
      </c>
      <c r="I22" s="113" t="str">
        <f t="shared" si="55"/>
        <v/>
      </c>
      <c r="J22" s="114" t="str">
        <f t="shared" si="21"/>
        <v/>
      </c>
      <c r="K22" s="113" t="str">
        <f t="shared" si="45"/>
        <v/>
      </c>
      <c r="L22" s="163" t="str">
        <f t="shared" si="22"/>
        <v/>
      </c>
      <c r="M22" s="115">
        <f t="shared" si="23"/>
        <v>0</v>
      </c>
      <c r="N22" s="116" t="str">
        <f t="shared" si="24"/>
        <v/>
      </c>
      <c r="O22" s="38"/>
      <c r="P22" s="38">
        <f t="shared" si="25"/>
        <v>0</v>
      </c>
      <c r="Q22" s="38" t="e">
        <f t="shared" si="3"/>
        <v>#VALUE!</v>
      </c>
      <c r="R22" s="38"/>
      <c r="S22" s="38"/>
      <c r="T22" s="38" t="e">
        <f t="shared" si="26"/>
        <v>#N/A</v>
      </c>
      <c r="U22" s="38" t="e">
        <f t="shared" si="4"/>
        <v>#N/A</v>
      </c>
      <c r="V22" s="38"/>
      <c r="W22" s="38" t="e">
        <f t="shared" si="46"/>
        <v>#N/A</v>
      </c>
      <c r="X22" s="38"/>
      <c r="Y22" s="58"/>
      <c r="Z22" s="38"/>
      <c r="AA22" s="58"/>
      <c r="AB22" s="38"/>
      <c r="AC22" s="75">
        <f t="shared" si="27"/>
        <v>0</v>
      </c>
      <c r="AD22" s="117" t="e">
        <f t="shared" si="28"/>
        <v>#N/A</v>
      </c>
      <c r="AE22" s="117" t="e">
        <f t="shared" si="29"/>
        <v>#N/A</v>
      </c>
      <c r="AF22" s="117" t="e">
        <f t="shared" si="30"/>
        <v>#N/A</v>
      </c>
      <c r="AG22" s="118">
        <f t="shared" si="31"/>
        <v>0</v>
      </c>
      <c r="AH22" s="118" t="e">
        <f t="shared" si="32"/>
        <v>#N/A</v>
      </c>
      <c r="AI22" s="118" t="e">
        <f t="shared" si="33"/>
        <v>#N/A</v>
      </c>
      <c r="AJ22" s="164">
        <f t="shared" si="47"/>
        <v>0</v>
      </c>
      <c r="AL22" s="75">
        <f t="shared" si="6"/>
        <v>0</v>
      </c>
      <c r="AM22" s="75">
        <f t="shared" si="48"/>
        <v>0</v>
      </c>
      <c r="AN22" s="75">
        <f t="shared" si="49"/>
        <v>0</v>
      </c>
      <c r="AO22" s="75">
        <f t="shared" si="50"/>
        <v>0</v>
      </c>
      <c r="AP22" s="165">
        <f t="shared" si="34"/>
        <v>0</v>
      </c>
      <c r="AQ22" s="75">
        <f t="shared" si="51"/>
        <v>0</v>
      </c>
      <c r="AR22" s="75">
        <f t="shared" si="52"/>
        <v>0</v>
      </c>
      <c r="AS22" s="75">
        <f t="shared" si="53"/>
        <v>0</v>
      </c>
      <c r="AT22" s="120">
        <f t="shared" si="35"/>
        <v>0</v>
      </c>
      <c r="AU22" s="87" t="e">
        <f t="shared" si="36"/>
        <v>#VALUE!</v>
      </c>
      <c r="AV22" s="75" t="e">
        <f t="shared" si="7"/>
        <v>#VALUE!</v>
      </c>
      <c r="AW22" s="75" t="e">
        <f t="shared" si="8"/>
        <v>#VALUE!</v>
      </c>
      <c r="AX22" s="75" t="e">
        <f t="shared" si="9"/>
        <v>#VALUE!</v>
      </c>
      <c r="AY22" s="75" t="e">
        <f t="shared" si="37"/>
        <v>#VALUE!</v>
      </c>
      <c r="AZ22" s="76">
        <f t="shared" si="38"/>
        <v>0</v>
      </c>
      <c r="BA22" s="35">
        <f t="shared" si="39"/>
        <v>0</v>
      </c>
      <c r="BB22" s="35">
        <f t="shared" si="10"/>
        <v>0</v>
      </c>
      <c r="BC22" s="35">
        <f t="shared" si="11"/>
        <v>0</v>
      </c>
      <c r="BD22" s="35">
        <f t="shared" si="12"/>
        <v>0</v>
      </c>
      <c r="BE22" s="35">
        <f t="shared" si="13"/>
        <v>0</v>
      </c>
      <c r="BF22" s="35">
        <f t="shared" si="14"/>
        <v>0</v>
      </c>
      <c r="BG22" s="35">
        <f t="shared" si="15"/>
        <v>0</v>
      </c>
      <c r="BH22" s="35">
        <f t="shared" si="16"/>
        <v>0</v>
      </c>
      <c r="BI22" s="35">
        <f t="shared" si="17"/>
        <v>0</v>
      </c>
      <c r="BJ22" s="35">
        <f t="shared" si="18"/>
        <v>0</v>
      </c>
      <c r="BK22" s="35">
        <f t="shared" si="40"/>
        <v>0</v>
      </c>
      <c r="BM22" s="35" t="e">
        <f t="shared" si="41"/>
        <v>#VALUE!</v>
      </c>
      <c r="BN22" s="35" t="e">
        <f t="shared" si="42"/>
        <v>#VALUE!</v>
      </c>
      <c r="BO22" s="35" t="e">
        <f t="shared" si="54"/>
        <v>#N/A</v>
      </c>
      <c r="BP22" s="35" t="e">
        <f t="shared" si="19"/>
        <v>#N/A</v>
      </c>
      <c r="BQ22" s="47" t="e">
        <f t="shared" si="20"/>
        <v>#VALUE!</v>
      </c>
      <c r="BS22" s="159">
        <f t="shared" ref="BS22:BT22" si="56">BS19+1</f>
        <v>2</v>
      </c>
      <c r="BT22" s="159">
        <f t="shared" si="56"/>
        <v>3</v>
      </c>
      <c r="BU22" s="166" t="str">
        <f t="shared" si="43"/>
        <v>x</v>
      </c>
      <c r="BV22" s="167" t="str">
        <f t="shared" ref="BV22" si="57">IF(ISBLANK(INDEX(B$17:B$42,BS22)),BV21,$BV$15)</f>
        <v/>
      </c>
    </row>
    <row r="23" spans="1:74" ht="36" customHeight="1" x14ac:dyDescent="0.45">
      <c r="A23" s="178">
        <v>7</v>
      </c>
      <c r="B23" s="179"/>
      <c r="C23" s="179"/>
      <c r="D23" s="179"/>
      <c r="E23" s="179"/>
      <c r="F23" s="179"/>
      <c r="H23" s="113" t="str">
        <f t="shared" si="2"/>
        <v/>
      </c>
      <c r="I23" s="113" t="str">
        <f t="shared" si="55"/>
        <v/>
      </c>
      <c r="J23" s="114" t="str">
        <f t="shared" si="21"/>
        <v/>
      </c>
      <c r="K23" s="113" t="str">
        <f t="shared" si="45"/>
        <v/>
      </c>
      <c r="L23" s="163" t="str">
        <f t="shared" si="22"/>
        <v/>
      </c>
      <c r="M23" s="115">
        <f t="shared" si="23"/>
        <v>0</v>
      </c>
      <c r="N23" s="116" t="str">
        <f t="shared" si="24"/>
        <v/>
      </c>
      <c r="O23" s="38"/>
      <c r="P23" s="38">
        <f t="shared" si="25"/>
        <v>0</v>
      </c>
      <c r="Q23" s="38" t="e">
        <f t="shared" si="3"/>
        <v>#VALUE!</v>
      </c>
      <c r="R23" s="38"/>
      <c r="S23" s="38"/>
      <c r="T23" s="38" t="e">
        <f t="shared" si="26"/>
        <v>#N/A</v>
      </c>
      <c r="U23" s="38" t="e">
        <f t="shared" si="4"/>
        <v>#N/A</v>
      </c>
      <c r="V23" s="38"/>
      <c r="W23" s="38" t="e">
        <f t="shared" si="46"/>
        <v>#N/A</v>
      </c>
      <c r="X23" s="38"/>
      <c r="AA23" s="58"/>
      <c r="AB23" s="38"/>
      <c r="AC23" s="75">
        <f t="shared" si="27"/>
        <v>0</v>
      </c>
      <c r="AD23" s="117" t="e">
        <f t="shared" si="28"/>
        <v>#N/A</v>
      </c>
      <c r="AE23" s="117" t="e">
        <f t="shared" si="29"/>
        <v>#N/A</v>
      </c>
      <c r="AF23" s="117" t="e">
        <f t="shared" si="30"/>
        <v>#N/A</v>
      </c>
      <c r="AG23" s="118">
        <f t="shared" si="31"/>
        <v>0</v>
      </c>
      <c r="AH23" s="118" t="e">
        <f t="shared" si="32"/>
        <v>#N/A</v>
      </c>
      <c r="AI23" s="118" t="e">
        <f t="shared" si="33"/>
        <v>#N/A</v>
      </c>
      <c r="AJ23" s="164">
        <f t="shared" si="47"/>
        <v>0</v>
      </c>
      <c r="AL23" s="75">
        <f t="shared" si="6"/>
        <v>0</v>
      </c>
      <c r="AM23" s="75">
        <f t="shared" si="48"/>
        <v>0</v>
      </c>
      <c r="AN23" s="75">
        <f t="shared" si="49"/>
        <v>0</v>
      </c>
      <c r="AO23" s="75">
        <f t="shared" si="50"/>
        <v>0</v>
      </c>
      <c r="AP23" s="165">
        <f t="shared" si="34"/>
        <v>0</v>
      </c>
      <c r="AQ23" s="75">
        <f t="shared" si="51"/>
        <v>0</v>
      </c>
      <c r="AR23" s="75">
        <f t="shared" si="52"/>
        <v>0</v>
      </c>
      <c r="AS23" s="75">
        <f t="shared" si="53"/>
        <v>0</v>
      </c>
      <c r="AT23" s="120">
        <f t="shared" si="35"/>
        <v>0</v>
      </c>
      <c r="AU23" s="87" t="e">
        <f t="shared" si="36"/>
        <v>#VALUE!</v>
      </c>
      <c r="AV23" s="75" t="e">
        <f t="shared" si="7"/>
        <v>#VALUE!</v>
      </c>
      <c r="AW23" s="75" t="e">
        <f t="shared" si="8"/>
        <v>#VALUE!</v>
      </c>
      <c r="AX23" s="75" t="e">
        <f t="shared" si="9"/>
        <v>#VALUE!</v>
      </c>
      <c r="AY23" s="75" t="e">
        <f t="shared" si="37"/>
        <v>#VALUE!</v>
      </c>
      <c r="AZ23" s="76">
        <f t="shared" si="38"/>
        <v>0</v>
      </c>
      <c r="BA23" s="35">
        <f t="shared" si="39"/>
        <v>0</v>
      </c>
      <c r="BB23" s="35">
        <f t="shared" si="10"/>
        <v>0</v>
      </c>
      <c r="BC23" s="35">
        <f t="shared" si="11"/>
        <v>0</v>
      </c>
      <c r="BD23" s="35">
        <f t="shared" si="12"/>
        <v>0</v>
      </c>
      <c r="BE23" s="35">
        <f t="shared" si="13"/>
        <v>0</v>
      </c>
      <c r="BF23" s="35">
        <f t="shared" si="14"/>
        <v>0</v>
      </c>
      <c r="BG23" s="35">
        <f t="shared" si="15"/>
        <v>0</v>
      </c>
      <c r="BH23" s="35">
        <f t="shared" si="16"/>
        <v>0</v>
      </c>
      <c r="BI23" s="35">
        <f t="shared" si="17"/>
        <v>0</v>
      </c>
      <c r="BJ23" s="35">
        <f t="shared" si="18"/>
        <v>0</v>
      </c>
      <c r="BK23" s="35">
        <f t="shared" si="40"/>
        <v>0</v>
      </c>
      <c r="BM23" s="35" t="e">
        <f t="shared" si="41"/>
        <v>#VALUE!</v>
      </c>
      <c r="BN23" s="35" t="e">
        <f t="shared" si="42"/>
        <v>#VALUE!</v>
      </c>
      <c r="BO23" s="35" t="e">
        <f t="shared" si="54"/>
        <v>#N/A</v>
      </c>
      <c r="BP23" s="35" t="e">
        <f t="shared" si="19"/>
        <v>#N/A</v>
      </c>
      <c r="BQ23" s="47" t="e">
        <f t="shared" si="20"/>
        <v>#VALUE!</v>
      </c>
      <c r="BS23" s="159">
        <f>BS20+1</f>
        <v>3</v>
      </c>
      <c r="BT23" s="159">
        <f>BT20+1</f>
        <v>2</v>
      </c>
      <c r="BU23" s="166" t="str">
        <f t="shared" si="43"/>
        <v>x</v>
      </c>
      <c r="BV23" s="167" t="str">
        <f t="shared" ref="BV23" si="58">INDEX(N$17:N$42,BS23)</f>
        <v/>
      </c>
    </row>
    <row r="24" spans="1:74" ht="36" customHeight="1" x14ac:dyDescent="0.45">
      <c r="A24" s="180">
        <v>8</v>
      </c>
      <c r="B24" s="181"/>
      <c r="C24" s="182"/>
      <c r="D24" s="182"/>
      <c r="E24" s="182"/>
      <c r="F24" s="182"/>
      <c r="H24" s="113" t="str">
        <f t="shared" si="2"/>
        <v/>
      </c>
      <c r="I24" s="113" t="str">
        <f t="shared" si="55"/>
        <v/>
      </c>
      <c r="J24" s="114" t="str">
        <f t="shared" si="21"/>
        <v/>
      </c>
      <c r="K24" s="113" t="str">
        <f t="shared" si="45"/>
        <v/>
      </c>
      <c r="L24" s="163" t="str">
        <f t="shared" si="22"/>
        <v/>
      </c>
      <c r="M24" s="115">
        <f t="shared" si="23"/>
        <v>0</v>
      </c>
      <c r="N24" s="116" t="str">
        <f t="shared" si="24"/>
        <v/>
      </c>
      <c r="O24" s="38"/>
      <c r="P24" s="38">
        <f t="shared" si="25"/>
        <v>0</v>
      </c>
      <c r="Q24" s="38" t="e">
        <f t="shared" si="3"/>
        <v>#VALUE!</v>
      </c>
      <c r="R24" s="38"/>
      <c r="S24" s="38"/>
      <c r="T24" s="38" t="e">
        <f t="shared" si="26"/>
        <v>#N/A</v>
      </c>
      <c r="U24" s="38" t="e">
        <f t="shared" si="4"/>
        <v>#N/A</v>
      </c>
      <c r="V24" s="38"/>
      <c r="W24" s="38" t="e">
        <f t="shared" si="46"/>
        <v>#N/A</v>
      </c>
      <c r="X24" s="38"/>
      <c r="AA24" s="58"/>
      <c r="AB24" s="38"/>
      <c r="AC24" s="75">
        <f t="shared" si="27"/>
        <v>0</v>
      </c>
      <c r="AD24" s="117" t="e">
        <f t="shared" si="28"/>
        <v>#N/A</v>
      </c>
      <c r="AE24" s="117" t="e">
        <f t="shared" si="29"/>
        <v>#N/A</v>
      </c>
      <c r="AF24" s="117" t="e">
        <f t="shared" si="30"/>
        <v>#N/A</v>
      </c>
      <c r="AG24" s="118">
        <f t="shared" si="31"/>
        <v>0</v>
      </c>
      <c r="AH24" s="118" t="e">
        <f t="shared" si="32"/>
        <v>#N/A</v>
      </c>
      <c r="AI24" s="118" t="e">
        <f t="shared" si="33"/>
        <v>#N/A</v>
      </c>
      <c r="AJ24" s="164">
        <f t="shared" si="47"/>
        <v>0</v>
      </c>
      <c r="AL24" s="75">
        <f t="shared" si="6"/>
        <v>0</v>
      </c>
      <c r="AM24" s="75">
        <f t="shared" si="48"/>
        <v>0</v>
      </c>
      <c r="AN24" s="75">
        <f t="shared" si="49"/>
        <v>0</v>
      </c>
      <c r="AO24" s="75">
        <f t="shared" si="50"/>
        <v>0</v>
      </c>
      <c r="AP24" s="165">
        <f t="shared" si="34"/>
        <v>0</v>
      </c>
      <c r="AQ24" s="75">
        <f t="shared" si="51"/>
        <v>0</v>
      </c>
      <c r="AR24" s="75">
        <f t="shared" si="52"/>
        <v>0</v>
      </c>
      <c r="AS24" s="75">
        <f t="shared" si="53"/>
        <v>0</v>
      </c>
      <c r="AT24" s="120">
        <f t="shared" si="35"/>
        <v>0</v>
      </c>
      <c r="AU24" s="87" t="e">
        <f t="shared" si="36"/>
        <v>#VALUE!</v>
      </c>
      <c r="AV24" s="75" t="e">
        <f t="shared" si="7"/>
        <v>#VALUE!</v>
      </c>
      <c r="AW24" s="75" t="e">
        <f t="shared" si="8"/>
        <v>#VALUE!</v>
      </c>
      <c r="AX24" s="75" t="e">
        <f t="shared" si="9"/>
        <v>#VALUE!</v>
      </c>
      <c r="AY24" s="75" t="e">
        <f t="shared" si="37"/>
        <v>#VALUE!</v>
      </c>
      <c r="AZ24" s="76">
        <f t="shared" si="38"/>
        <v>0</v>
      </c>
      <c r="BA24" s="35">
        <f t="shared" si="39"/>
        <v>0</v>
      </c>
      <c r="BB24" s="35">
        <f t="shared" si="10"/>
        <v>0</v>
      </c>
      <c r="BC24" s="35">
        <f t="shared" si="11"/>
        <v>0</v>
      </c>
      <c r="BD24" s="35">
        <f t="shared" si="12"/>
        <v>0</v>
      </c>
      <c r="BE24" s="35">
        <f t="shared" si="13"/>
        <v>0</v>
      </c>
      <c r="BF24" s="35">
        <f t="shared" si="14"/>
        <v>0</v>
      </c>
      <c r="BG24" s="35">
        <f t="shared" si="15"/>
        <v>0</v>
      </c>
      <c r="BH24" s="35">
        <f t="shared" si="16"/>
        <v>0</v>
      </c>
      <c r="BI24" s="35">
        <f t="shared" si="17"/>
        <v>0</v>
      </c>
      <c r="BJ24" s="35">
        <f t="shared" si="18"/>
        <v>0</v>
      </c>
      <c r="BK24" s="35">
        <f t="shared" si="40"/>
        <v>0</v>
      </c>
      <c r="BM24" s="35" t="e">
        <f t="shared" si="41"/>
        <v>#VALUE!</v>
      </c>
      <c r="BN24" s="35" t="e">
        <f t="shared" si="42"/>
        <v>#VALUE!</v>
      </c>
      <c r="BO24" s="35" t="e">
        <f t="shared" si="54"/>
        <v>#N/A</v>
      </c>
      <c r="BP24" s="35" t="e">
        <f t="shared" si="19"/>
        <v>#N/A</v>
      </c>
      <c r="BQ24" s="47" t="e">
        <f t="shared" si="20"/>
        <v>#VALUE!</v>
      </c>
      <c r="BS24" s="159">
        <f>BS21+1</f>
        <v>3</v>
      </c>
      <c r="BT24" s="159">
        <f>BT21+1</f>
        <v>4</v>
      </c>
      <c r="BU24" s="166" t="str">
        <f t="shared" si="43"/>
        <v>x</v>
      </c>
      <c r="BV24" s="167" t="str">
        <f t="shared" si="44"/>
        <v/>
      </c>
    </row>
    <row r="25" spans="1:74" ht="36" customHeight="1" x14ac:dyDescent="0.45">
      <c r="A25" s="178">
        <v>9</v>
      </c>
      <c r="B25" s="179"/>
      <c r="C25" s="179"/>
      <c r="D25" s="179"/>
      <c r="E25" s="179"/>
      <c r="F25" s="179"/>
      <c r="H25" s="113" t="str">
        <f t="shared" si="2"/>
        <v/>
      </c>
      <c r="I25" s="113" t="str">
        <f t="shared" si="55"/>
        <v/>
      </c>
      <c r="J25" s="114" t="str">
        <f t="shared" si="21"/>
        <v/>
      </c>
      <c r="K25" s="113" t="str">
        <f t="shared" si="45"/>
        <v/>
      </c>
      <c r="L25" s="163" t="str">
        <f t="shared" si="22"/>
        <v/>
      </c>
      <c r="M25" s="115">
        <f t="shared" si="23"/>
        <v>0</v>
      </c>
      <c r="N25" s="116" t="str">
        <f t="shared" si="24"/>
        <v/>
      </c>
      <c r="O25" s="38"/>
      <c r="P25" s="38">
        <f t="shared" si="25"/>
        <v>0</v>
      </c>
      <c r="Q25" s="38" t="e">
        <f t="shared" si="3"/>
        <v>#VALUE!</v>
      </c>
      <c r="R25" s="38"/>
      <c r="S25" s="38"/>
      <c r="T25" s="38" t="e">
        <f t="shared" si="26"/>
        <v>#N/A</v>
      </c>
      <c r="U25" s="38" t="e">
        <f t="shared" si="4"/>
        <v>#N/A</v>
      </c>
      <c r="V25" s="38"/>
      <c r="W25" s="38" t="e">
        <f t="shared" si="46"/>
        <v>#N/A</v>
      </c>
      <c r="X25" s="38"/>
      <c r="AA25" s="58"/>
      <c r="AB25" s="38"/>
      <c r="AC25" s="75">
        <f t="shared" si="27"/>
        <v>0</v>
      </c>
      <c r="AD25" s="117" t="e">
        <f t="shared" si="28"/>
        <v>#N/A</v>
      </c>
      <c r="AE25" s="117" t="e">
        <f t="shared" si="29"/>
        <v>#N/A</v>
      </c>
      <c r="AF25" s="117" t="e">
        <f t="shared" si="30"/>
        <v>#N/A</v>
      </c>
      <c r="AG25" s="118">
        <f t="shared" si="31"/>
        <v>0</v>
      </c>
      <c r="AH25" s="118" t="e">
        <f t="shared" si="32"/>
        <v>#N/A</v>
      </c>
      <c r="AI25" s="118" t="e">
        <f t="shared" si="33"/>
        <v>#N/A</v>
      </c>
      <c r="AJ25" s="164">
        <f t="shared" si="47"/>
        <v>0</v>
      </c>
      <c r="AL25" s="75">
        <f t="shared" si="6"/>
        <v>0</v>
      </c>
      <c r="AM25" s="75">
        <f>ABS(AL25-AL24)</f>
        <v>0</v>
      </c>
      <c r="AN25" s="75">
        <f t="shared" si="49"/>
        <v>0</v>
      </c>
      <c r="AO25" s="75">
        <f t="shared" si="50"/>
        <v>0</v>
      </c>
      <c r="AP25" s="165">
        <f t="shared" si="34"/>
        <v>0</v>
      </c>
      <c r="AQ25" s="75">
        <f t="shared" si="51"/>
        <v>0</v>
      </c>
      <c r="AR25" s="75">
        <f t="shared" si="52"/>
        <v>0</v>
      </c>
      <c r="AS25" s="75">
        <f t="shared" si="53"/>
        <v>0</v>
      </c>
      <c r="AT25" s="120">
        <f t="shared" si="35"/>
        <v>0</v>
      </c>
      <c r="AU25" s="87" t="e">
        <f t="shared" si="36"/>
        <v>#VALUE!</v>
      </c>
      <c r="AV25" s="75" t="e">
        <f t="shared" si="7"/>
        <v>#VALUE!</v>
      </c>
      <c r="AW25" s="75" t="e">
        <f t="shared" si="8"/>
        <v>#VALUE!</v>
      </c>
      <c r="AX25" s="75" t="e">
        <f t="shared" si="9"/>
        <v>#VALUE!</v>
      </c>
      <c r="AY25" s="75" t="e">
        <f t="shared" si="37"/>
        <v>#VALUE!</v>
      </c>
      <c r="AZ25" s="76">
        <f t="shared" si="38"/>
        <v>0</v>
      </c>
      <c r="BA25" s="35">
        <f t="shared" si="39"/>
        <v>0</v>
      </c>
      <c r="BB25" s="35">
        <f t="shared" si="10"/>
        <v>0</v>
      </c>
      <c r="BC25" s="35">
        <f t="shared" si="11"/>
        <v>0</v>
      </c>
      <c r="BD25" s="35">
        <f t="shared" si="12"/>
        <v>0</v>
      </c>
      <c r="BE25" s="35">
        <f t="shared" si="13"/>
        <v>0</v>
      </c>
      <c r="BF25" s="35">
        <f t="shared" si="14"/>
        <v>0</v>
      </c>
      <c r="BG25" s="35">
        <f t="shared" si="15"/>
        <v>0</v>
      </c>
      <c r="BH25" s="35">
        <f t="shared" si="16"/>
        <v>0</v>
      </c>
      <c r="BI25" s="35">
        <f t="shared" si="17"/>
        <v>0</v>
      </c>
      <c r="BJ25" s="35">
        <f t="shared" si="18"/>
        <v>0</v>
      </c>
      <c r="BK25" s="35">
        <f t="shared" si="40"/>
        <v>0</v>
      </c>
      <c r="BM25" s="35" t="e">
        <f t="shared" si="41"/>
        <v>#VALUE!</v>
      </c>
      <c r="BN25" s="35" t="e">
        <f t="shared" si="42"/>
        <v>#VALUE!</v>
      </c>
      <c r="BO25" s="35" t="e">
        <f t="shared" si="54"/>
        <v>#N/A</v>
      </c>
      <c r="BP25" s="35" t="e">
        <f t="shared" si="19"/>
        <v>#N/A</v>
      </c>
      <c r="BQ25" s="47" t="e">
        <f t="shared" si="20"/>
        <v>#VALUE!</v>
      </c>
      <c r="BS25" s="159">
        <f t="shared" ref="BS25:BT40" si="59">BS22+1</f>
        <v>3</v>
      </c>
      <c r="BT25" s="159">
        <f t="shared" si="59"/>
        <v>4</v>
      </c>
      <c r="BU25" s="166" t="str">
        <f t="shared" si="43"/>
        <v>x</v>
      </c>
      <c r="BV25" s="167" t="str">
        <f t="shared" ref="BV25" si="60">IF(ISBLANK(INDEX(B$17:B$42,BS25)),BV24,$BV$15)</f>
        <v/>
      </c>
    </row>
    <row r="26" spans="1:74" ht="36" customHeight="1" x14ac:dyDescent="0.45">
      <c r="A26" s="180">
        <v>10</v>
      </c>
      <c r="B26" s="181"/>
      <c r="C26" s="182"/>
      <c r="D26" s="182"/>
      <c r="E26" s="182"/>
      <c r="F26" s="182"/>
      <c r="H26" s="113" t="str">
        <f t="shared" si="2"/>
        <v/>
      </c>
      <c r="I26" s="113" t="str">
        <f>IF(ISBLANK(B27),IF(ISBLANK(B26),"",(2*E26-1)*I25),MAX(0,$H$5*H26+$I$5))</f>
        <v/>
      </c>
      <c r="J26" s="114" t="str">
        <f t="shared" si="21"/>
        <v/>
      </c>
      <c r="K26" s="113" t="str">
        <f t="shared" si="45"/>
        <v/>
      </c>
      <c r="L26" s="163" t="str">
        <f t="shared" si="22"/>
        <v/>
      </c>
      <c r="M26" s="115">
        <f t="shared" si="23"/>
        <v>0</v>
      </c>
      <c r="N26" s="116" t="str">
        <f t="shared" si="24"/>
        <v/>
      </c>
      <c r="O26" s="38"/>
      <c r="P26" s="38">
        <f t="shared" si="25"/>
        <v>0</v>
      </c>
      <c r="Q26" s="38" t="e">
        <f t="shared" si="3"/>
        <v>#VALUE!</v>
      </c>
      <c r="R26" s="38"/>
      <c r="S26" s="38"/>
      <c r="T26" s="38" t="e">
        <f t="shared" si="26"/>
        <v>#N/A</v>
      </c>
      <c r="U26" s="38" t="e">
        <f t="shared" si="4"/>
        <v>#N/A</v>
      </c>
      <c r="V26" s="38"/>
      <c r="W26" s="38" t="e">
        <f t="shared" si="46"/>
        <v>#N/A</v>
      </c>
      <c r="X26" s="38"/>
      <c r="AA26" s="58"/>
      <c r="AB26" s="38"/>
      <c r="AC26" s="75">
        <f t="shared" si="27"/>
        <v>0</v>
      </c>
      <c r="AD26" s="117" t="e">
        <f t="shared" si="28"/>
        <v>#N/A</v>
      </c>
      <c r="AE26" s="117" t="e">
        <f t="shared" si="29"/>
        <v>#N/A</v>
      </c>
      <c r="AF26" s="117" t="e">
        <f t="shared" si="30"/>
        <v>#N/A</v>
      </c>
      <c r="AG26" s="118">
        <f t="shared" si="31"/>
        <v>0</v>
      </c>
      <c r="AH26" s="118" t="e">
        <f t="shared" si="32"/>
        <v>#N/A</v>
      </c>
      <c r="AI26" s="118" t="e">
        <f t="shared" si="33"/>
        <v>#N/A</v>
      </c>
      <c r="AJ26" s="164">
        <f t="shared" si="47"/>
        <v>0</v>
      </c>
      <c r="AL26" s="75">
        <f t="shared" si="6"/>
        <v>0</v>
      </c>
      <c r="AM26" s="75">
        <f t="shared" si="48"/>
        <v>0</v>
      </c>
      <c r="AN26" s="75">
        <f t="shared" si="49"/>
        <v>0</v>
      </c>
      <c r="AO26" s="75">
        <f t="shared" si="50"/>
        <v>0</v>
      </c>
      <c r="AP26" s="165">
        <f t="shared" si="34"/>
        <v>0</v>
      </c>
      <c r="AQ26" s="75">
        <f t="shared" si="51"/>
        <v>0</v>
      </c>
      <c r="AR26" s="75">
        <f t="shared" si="52"/>
        <v>0</v>
      </c>
      <c r="AS26" s="75">
        <f t="shared" si="53"/>
        <v>0</v>
      </c>
      <c r="AT26" s="120">
        <f t="shared" si="35"/>
        <v>0</v>
      </c>
      <c r="AU26" s="87" t="e">
        <f t="shared" si="36"/>
        <v>#VALUE!</v>
      </c>
      <c r="AV26" s="75" t="e">
        <f t="shared" si="7"/>
        <v>#VALUE!</v>
      </c>
      <c r="AW26" s="75" t="e">
        <f t="shared" si="8"/>
        <v>#VALUE!</v>
      </c>
      <c r="AX26" s="75" t="e">
        <f t="shared" si="9"/>
        <v>#VALUE!</v>
      </c>
      <c r="AY26" s="75" t="e">
        <f t="shared" si="37"/>
        <v>#VALUE!</v>
      </c>
      <c r="AZ26" s="76">
        <f t="shared" si="38"/>
        <v>0</v>
      </c>
      <c r="BA26" s="35">
        <f t="shared" si="39"/>
        <v>0</v>
      </c>
      <c r="BB26" s="35">
        <f t="shared" si="10"/>
        <v>0</v>
      </c>
      <c r="BC26" s="35">
        <f t="shared" si="11"/>
        <v>0</v>
      </c>
      <c r="BD26" s="35">
        <f t="shared" si="12"/>
        <v>0</v>
      </c>
      <c r="BE26" s="35">
        <f t="shared" si="13"/>
        <v>0</v>
      </c>
      <c r="BF26" s="35">
        <f t="shared" si="14"/>
        <v>0</v>
      </c>
      <c r="BG26" s="35">
        <f t="shared" si="15"/>
        <v>0</v>
      </c>
      <c r="BH26" s="35">
        <f t="shared" si="16"/>
        <v>0</v>
      </c>
      <c r="BI26" s="35">
        <f t="shared" si="17"/>
        <v>0</v>
      </c>
      <c r="BJ26" s="35">
        <f t="shared" si="18"/>
        <v>0</v>
      </c>
      <c r="BK26" s="35">
        <f t="shared" si="40"/>
        <v>0</v>
      </c>
      <c r="BM26" s="35" t="e">
        <f t="shared" si="41"/>
        <v>#VALUE!</v>
      </c>
      <c r="BN26" s="35" t="e">
        <f t="shared" si="42"/>
        <v>#VALUE!</v>
      </c>
      <c r="BO26" s="35" t="e">
        <f t="shared" si="54"/>
        <v>#N/A</v>
      </c>
      <c r="BP26" s="35" t="e">
        <f t="shared" si="19"/>
        <v>#N/A</v>
      </c>
      <c r="BQ26" s="47" t="e">
        <f t="shared" si="20"/>
        <v>#VALUE!</v>
      </c>
      <c r="BS26" s="159">
        <f t="shared" si="59"/>
        <v>4</v>
      </c>
      <c r="BT26" s="159">
        <f t="shared" si="59"/>
        <v>3</v>
      </c>
      <c r="BU26" s="166" t="str">
        <f t="shared" si="43"/>
        <v>x</v>
      </c>
      <c r="BV26" s="167" t="str">
        <f t="shared" ref="BV26" si="61">INDEX(N$17:N$42,BS26)</f>
        <v/>
      </c>
    </row>
    <row r="27" spans="1:74" ht="36" customHeight="1" x14ac:dyDescent="0.45">
      <c r="A27" s="178">
        <v>11</v>
      </c>
      <c r="B27" s="179"/>
      <c r="C27" s="179"/>
      <c r="D27" s="179"/>
      <c r="E27" s="179"/>
      <c r="F27" s="179"/>
      <c r="H27" s="113" t="str">
        <f t="shared" si="2"/>
        <v/>
      </c>
      <c r="I27" s="113" t="str">
        <f t="shared" si="55"/>
        <v/>
      </c>
      <c r="J27" s="114" t="str">
        <f t="shared" si="21"/>
        <v/>
      </c>
      <c r="K27" s="113" t="str">
        <f t="shared" si="45"/>
        <v/>
      </c>
      <c r="L27" s="163" t="str">
        <f t="shared" si="22"/>
        <v/>
      </c>
      <c r="M27" s="115">
        <f t="shared" si="23"/>
        <v>0</v>
      </c>
      <c r="N27" s="116" t="str">
        <f t="shared" si="24"/>
        <v/>
      </c>
      <c r="O27" s="38"/>
      <c r="P27" s="38">
        <f t="shared" si="25"/>
        <v>0</v>
      </c>
      <c r="Q27" s="38" t="e">
        <f t="shared" si="3"/>
        <v>#VALUE!</v>
      </c>
      <c r="R27" s="38"/>
      <c r="S27" s="38"/>
      <c r="T27" s="38" t="e">
        <f t="shared" si="26"/>
        <v>#N/A</v>
      </c>
      <c r="U27" s="38" t="e">
        <f t="shared" si="4"/>
        <v>#N/A</v>
      </c>
      <c r="V27" s="38"/>
      <c r="W27" s="38" t="e">
        <f t="shared" si="46"/>
        <v>#N/A</v>
      </c>
      <c r="X27" s="38"/>
      <c r="Y27" s="58"/>
      <c r="Z27" s="38"/>
      <c r="AA27" s="58"/>
      <c r="AB27" s="38"/>
      <c r="AC27" s="75">
        <f t="shared" si="27"/>
        <v>0</v>
      </c>
      <c r="AD27" s="117" t="e">
        <f t="shared" si="28"/>
        <v>#N/A</v>
      </c>
      <c r="AE27" s="117" t="e">
        <f t="shared" si="29"/>
        <v>#N/A</v>
      </c>
      <c r="AF27" s="117" t="e">
        <f t="shared" si="30"/>
        <v>#N/A</v>
      </c>
      <c r="AG27" s="118">
        <f t="shared" si="31"/>
        <v>0</v>
      </c>
      <c r="AH27" s="118" t="e">
        <f t="shared" si="32"/>
        <v>#N/A</v>
      </c>
      <c r="AI27" s="118" t="e">
        <f t="shared" si="33"/>
        <v>#N/A</v>
      </c>
      <c r="AJ27" s="164">
        <f t="shared" si="47"/>
        <v>0</v>
      </c>
      <c r="AL27" s="75">
        <f t="shared" si="6"/>
        <v>0</v>
      </c>
      <c r="AM27" s="75">
        <f t="shared" si="48"/>
        <v>0</v>
      </c>
      <c r="AN27" s="75">
        <f t="shared" si="49"/>
        <v>0</v>
      </c>
      <c r="AO27" s="75">
        <f t="shared" si="50"/>
        <v>0</v>
      </c>
      <c r="AP27" s="165">
        <f t="shared" si="34"/>
        <v>0</v>
      </c>
      <c r="AQ27" s="75">
        <f t="shared" si="51"/>
        <v>0</v>
      </c>
      <c r="AR27" s="75">
        <f t="shared" si="52"/>
        <v>0</v>
      </c>
      <c r="AS27" s="75">
        <f t="shared" si="53"/>
        <v>0</v>
      </c>
      <c r="AT27" s="120">
        <f t="shared" si="35"/>
        <v>0</v>
      </c>
      <c r="AU27" s="87" t="e">
        <f t="shared" si="36"/>
        <v>#VALUE!</v>
      </c>
      <c r="AV27" s="75" t="e">
        <f t="shared" si="7"/>
        <v>#VALUE!</v>
      </c>
      <c r="AW27" s="75" t="e">
        <f t="shared" si="8"/>
        <v>#VALUE!</v>
      </c>
      <c r="AX27" s="75" t="e">
        <f t="shared" si="9"/>
        <v>#VALUE!</v>
      </c>
      <c r="AY27" s="75" t="e">
        <f t="shared" si="37"/>
        <v>#VALUE!</v>
      </c>
      <c r="AZ27" s="76">
        <f t="shared" si="38"/>
        <v>0</v>
      </c>
      <c r="BA27" s="35">
        <f t="shared" si="39"/>
        <v>0</v>
      </c>
      <c r="BB27" s="35">
        <f t="shared" si="10"/>
        <v>0</v>
      </c>
      <c r="BC27" s="35">
        <f t="shared" si="11"/>
        <v>0</v>
      </c>
      <c r="BD27" s="35">
        <f t="shared" si="12"/>
        <v>0</v>
      </c>
      <c r="BE27" s="35">
        <f t="shared" si="13"/>
        <v>0</v>
      </c>
      <c r="BF27" s="35">
        <f t="shared" si="14"/>
        <v>0</v>
      </c>
      <c r="BG27" s="35">
        <f t="shared" si="15"/>
        <v>0</v>
      </c>
      <c r="BH27" s="35">
        <f t="shared" si="16"/>
        <v>0</v>
      </c>
      <c r="BI27" s="35">
        <f t="shared" si="17"/>
        <v>0</v>
      </c>
      <c r="BJ27" s="35">
        <f t="shared" si="18"/>
        <v>0</v>
      </c>
      <c r="BK27" s="35">
        <f t="shared" si="40"/>
        <v>0</v>
      </c>
      <c r="BM27" s="35" t="e">
        <f t="shared" si="41"/>
        <v>#VALUE!</v>
      </c>
      <c r="BN27" s="35" t="e">
        <f t="shared" si="42"/>
        <v>#VALUE!</v>
      </c>
      <c r="BO27" s="35" t="e">
        <f t="shared" si="54"/>
        <v>#N/A</v>
      </c>
      <c r="BP27" s="35" t="e">
        <f t="shared" si="19"/>
        <v>#N/A</v>
      </c>
      <c r="BQ27" s="47" t="e">
        <f t="shared" si="20"/>
        <v>#VALUE!</v>
      </c>
      <c r="BS27" s="159">
        <f t="shared" si="59"/>
        <v>4</v>
      </c>
      <c r="BT27" s="159">
        <f t="shared" si="59"/>
        <v>5</v>
      </c>
      <c r="BU27" s="166" t="str">
        <f t="shared" si="43"/>
        <v>x</v>
      </c>
      <c r="BV27" s="167" t="str">
        <f t="shared" si="44"/>
        <v/>
      </c>
    </row>
    <row r="28" spans="1:74" ht="36" customHeight="1" x14ac:dyDescent="0.45">
      <c r="A28" s="180">
        <v>12</v>
      </c>
      <c r="B28" s="181"/>
      <c r="C28" s="181"/>
      <c r="D28" s="181"/>
      <c r="E28" s="181"/>
      <c r="F28" s="181"/>
      <c r="H28" s="113" t="str">
        <f t="shared" si="2"/>
        <v/>
      </c>
      <c r="I28" s="113" t="str">
        <f t="shared" si="55"/>
        <v/>
      </c>
      <c r="J28" s="114" t="str">
        <f t="shared" si="21"/>
        <v/>
      </c>
      <c r="K28" s="113" t="str">
        <f t="shared" si="45"/>
        <v/>
      </c>
      <c r="L28" s="163" t="str">
        <f t="shared" si="22"/>
        <v/>
      </c>
      <c r="M28" s="115">
        <f t="shared" si="23"/>
        <v>0</v>
      </c>
      <c r="N28" s="116" t="str">
        <f t="shared" si="24"/>
        <v/>
      </c>
      <c r="O28" s="38"/>
      <c r="P28" s="38">
        <f t="shared" si="25"/>
        <v>0</v>
      </c>
      <c r="Q28" s="38" t="e">
        <f t="shared" si="3"/>
        <v>#VALUE!</v>
      </c>
      <c r="R28" s="38"/>
      <c r="S28" s="38"/>
      <c r="T28" s="38" t="e">
        <f t="shared" si="26"/>
        <v>#N/A</v>
      </c>
      <c r="U28" s="38" t="e">
        <f t="shared" si="4"/>
        <v>#N/A</v>
      </c>
      <c r="V28" s="38"/>
      <c r="W28" s="38" t="e">
        <f t="shared" si="46"/>
        <v>#N/A</v>
      </c>
      <c r="X28" s="38"/>
      <c r="Y28" s="58"/>
      <c r="Z28" s="38"/>
      <c r="AA28" s="58"/>
      <c r="AB28" s="38"/>
      <c r="AC28" s="75">
        <f t="shared" si="27"/>
        <v>0</v>
      </c>
      <c r="AD28" s="117" t="e">
        <f t="shared" si="28"/>
        <v>#N/A</v>
      </c>
      <c r="AE28" s="117" t="e">
        <f t="shared" si="29"/>
        <v>#N/A</v>
      </c>
      <c r="AF28" s="117" t="e">
        <f t="shared" si="30"/>
        <v>#N/A</v>
      </c>
      <c r="AG28" s="118">
        <f t="shared" si="31"/>
        <v>0</v>
      </c>
      <c r="AH28" s="118" t="e">
        <f t="shared" si="32"/>
        <v>#N/A</v>
      </c>
      <c r="AI28" s="118" t="e">
        <f t="shared" si="33"/>
        <v>#N/A</v>
      </c>
      <c r="AJ28" s="164">
        <f t="shared" si="47"/>
        <v>0</v>
      </c>
      <c r="AL28" s="75">
        <f t="shared" si="6"/>
        <v>0</v>
      </c>
      <c r="AM28" s="75">
        <f t="shared" si="48"/>
        <v>0</v>
      </c>
      <c r="AN28" s="75">
        <f t="shared" si="49"/>
        <v>0</v>
      </c>
      <c r="AO28" s="75">
        <f t="shared" si="50"/>
        <v>0</v>
      </c>
      <c r="AP28" s="165">
        <f t="shared" si="34"/>
        <v>0</v>
      </c>
      <c r="AQ28" s="75">
        <f t="shared" si="51"/>
        <v>0</v>
      </c>
      <c r="AR28" s="75">
        <f t="shared" si="52"/>
        <v>0</v>
      </c>
      <c r="AS28" s="75">
        <f t="shared" si="53"/>
        <v>0</v>
      </c>
      <c r="AT28" s="120">
        <f t="shared" si="35"/>
        <v>0</v>
      </c>
      <c r="AU28" s="87" t="e">
        <f t="shared" si="36"/>
        <v>#VALUE!</v>
      </c>
      <c r="AV28" s="75" t="e">
        <f t="shared" si="7"/>
        <v>#VALUE!</v>
      </c>
      <c r="AW28" s="75" t="e">
        <f t="shared" si="8"/>
        <v>#VALUE!</v>
      </c>
      <c r="AX28" s="75" t="e">
        <f t="shared" si="9"/>
        <v>#VALUE!</v>
      </c>
      <c r="AY28" s="75" t="e">
        <f t="shared" si="37"/>
        <v>#VALUE!</v>
      </c>
      <c r="AZ28" s="76">
        <f t="shared" si="38"/>
        <v>0</v>
      </c>
      <c r="BA28" s="35">
        <f t="shared" si="39"/>
        <v>0</v>
      </c>
      <c r="BB28" s="35">
        <f t="shared" si="10"/>
        <v>0</v>
      </c>
      <c r="BC28" s="35">
        <f t="shared" si="11"/>
        <v>0</v>
      </c>
      <c r="BD28" s="35">
        <f t="shared" si="12"/>
        <v>0</v>
      </c>
      <c r="BE28" s="35">
        <f t="shared" si="13"/>
        <v>0</v>
      </c>
      <c r="BF28" s="35">
        <f t="shared" si="14"/>
        <v>0</v>
      </c>
      <c r="BG28" s="35">
        <f t="shared" si="15"/>
        <v>0</v>
      </c>
      <c r="BH28" s="35">
        <f t="shared" si="16"/>
        <v>0</v>
      </c>
      <c r="BI28" s="35">
        <f t="shared" si="17"/>
        <v>0</v>
      </c>
      <c r="BJ28" s="35">
        <f t="shared" si="18"/>
        <v>0</v>
      </c>
      <c r="BK28" s="35">
        <f t="shared" si="40"/>
        <v>0</v>
      </c>
      <c r="BM28" s="35" t="e">
        <f t="shared" si="41"/>
        <v>#VALUE!</v>
      </c>
      <c r="BN28" s="35" t="e">
        <f t="shared" si="42"/>
        <v>#VALUE!</v>
      </c>
      <c r="BO28" s="35" t="e">
        <f t="shared" si="54"/>
        <v>#N/A</v>
      </c>
      <c r="BP28" s="35" t="e">
        <f t="shared" si="19"/>
        <v>#N/A</v>
      </c>
      <c r="BQ28" s="47" t="e">
        <f t="shared" si="20"/>
        <v>#VALUE!</v>
      </c>
      <c r="BS28" s="159">
        <f t="shared" si="59"/>
        <v>4</v>
      </c>
      <c r="BT28" s="159">
        <f t="shared" si="59"/>
        <v>5</v>
      </c>
      <c r="BU28" s="166" t="str">
        <f t="shared" si="43"/>
        <v>x</v>
      </c>
      <c r="BV28" s="167" t="str">
        <f t="shared" ref="BV28" si="62">IF(ISBLANK(INDEX(B$17:B$42,BS28)),BV27,$BV$15)</f>
        <v/>
      </c>
    </row>
    <row r="29" spans="1:74" ht="36" customHeight="1" x14ac:dyDescent="0.45">
      <c r="A29" s="178">
        <v>13</v>
      </c>
      <c r="B29" s="179"/>
      <c r="C29" s="179"/>
      <c r="D29" s="179"/>
      <c r="E29" s="179"/>
      <c r="F29" s="179"/>
      <c r="H29" s="113" t="str">
        <f t="shared" si="2"/>
        <v/>
      </c>
      <c r="I29" s="113" t="str">
        <f t="shared" si="55"/>
        <v/>
      </c>
      <c r="J29" s="114" t="str">
        <f t="shared" si="21"/>
        <v/>
      </c>
      <c r="K29" s="113" t="str">
        <f>IF(ISBLANK(B29),"",IF(ISBLANK(B30),ABS(B28-B29)/2*C29/100,ABS(B30-B28)/2*C29/100))</f>
        <v/>
      </c>
      <c r="L29" s="163" t="str">
        <f t="shared" si="22"/>
        <v/>
      </c>
      <c r="M29" s="115">
        <f t="shared" si="23"/>
        <v>0</v>
      </c>
      <c r="N29" s="116" t="str">
        <f t="shared" si="24"/>
        <v/>
      </c>
      <c r="O29" s="38"/>
      <c r="P29" s="38">
        <f t="shared" si="25"/>
        <v>0</v>
      </c>
      <c r="Q29" s="38" t="e">
        <f t="shared" si="3"/>
        <v>#VALUE!</v>
      </c>
      <c r="R29" s="38"/>
      <c r="S29" s="38"/>
      <c r="T29" s="38" t="e">
        <f t="shared" si="26"/>
        <v>#N/A</v>
      </c>
      <c r="U29" s="38" t="e">
        <f t="shared" si="4"/>
        <v>#N/A</v>
      </c>
      <c r="V29" s="38"/>
      <c r="W29" s="38" t="e">
        <f t="shared" si="46"/>
        <v>#N/A</v>
      </c>
      <c r="X29" s="38"/>
      <c r="Y29" s="58"/>
      <c r="Z29" s="38"/>
      <c r="AA29" s="58"/>
      <c r="AB29" s="38"/>
      <c r="AC29" s="75">
        <f t="shared" si="27"/>
        <v>0</v>
      </c>
      <c r="AD29" s="117" t="e">
        <f t="shared" si="28"/>
        <v>#N/A</v>
      </c>
      <c r="AE29" s="117" t="e">
        <f t="shared" si="29"/>
        <v>#N/A</v>
      </c>
      <c r="AF29" s="117" t="e">
        <f t="shared" si="30"/>
        <v>#N/A</v>
      </c>
      <c r="AG29" s="118">
        <f t="shared" si="31"/>
        <v>0</v>
      </c>
      <c r="AH29" s="118" t="e">
        <f t="shared" si="32"/>
        <v>#N/A</v>
      </c>
      <c r="AI29" s="118" t="e">
        <f t="shared" si="33"/>
        <v>#N/A</v>
      </c>
      <c r="AJ29" s="164">
        <f t="shared" si="47"/>
        <v>0</v>
      </c>
      <c r="AL29" s="75">
        <f t="shared" si="6"/>
        <v>0</v>
      </c>
      <c r="AM29" s="75">
        <f t="shared" si="48"/>
        <v>0</v>
      </c>
      <c r="AN29" s="75">
        <f t="shared" si="49"/>
        <v>0</v>
      </c>
      <c r="AO29" s="75">
        <f t="shared" si="50"/>
        <v>0</v>
      </c>
      <c r="AP29" s="165">
        <f t="shared" si="34"/>
        <v>0</v>
      </c>
      <c r="AQ29" s="75">
        <f t="shared" si="51"/>
        <v>0</v>
      </c>
      <c r="AR29" s="75">
        <f t="shared" si="52"/>
        <v>0</v>
      </c>
      <c r="AS29" s="75">
        <f t="shared" si="53"/>
        <v>0</v>
      </c>
      <c r="AT29" s="120">
        <f t="shared" si="35"/>
        <v>0</v>
      </c>
      <c r="AU29" s="87" t="e">
        <f t="shared" si="36"/>
        <v>#VALUE!</v>
      </c>
      <c r="AV29" s="75" t="e">
        <f t="shared" si="7"/>
        <v>#VALUE!</v>
      </c>
      <c r="AW29" s="75" t="e">
        <f t="shared" si="8"/>
        <v>#VALUE!</v>
      </c>
      <c r="AX29" s="75" t="e">
        <f t="shared" si="9"/>
        <v>#VALUE!</v>
      </c>
      <c r="AY29" s="75" t="e">
        <f t="shared" si="37"/>
        <v>#VALUE!</v>
      </c>
      <c r="AZ29" s="76">
        <f t="shared" si="38"/>
        <v>0</v>
      </c>
      <c r="BA29" s="35">
        <f t="shared" si="39"/>
        <v>0</v>
      </c>
      <c r="BB29" s="35">
        <f t="shared" si="10"/>
        <v>0</v>
      </c>
      <c r="BC29" s="35">
        <f t="shared" si="11"/>
        <v>0</v>
      </c>
      <c r="BD29" s="35">
        <f t="shared" si="12"/>
        <v>0</v>
      </c>
      <c r="BE29" s="35">
        <f t="shared" si="13"/>
        <v>0</v>
      </c>
      <c r="BF29" s="35">
        <f t="shared" si="14"/>
        <v>0</v>
      </c>
      <c r="BG29" s="35">
        <f t="shared" si="15"/>
        <v>0</v>
      </c>
      <c r="BH29" s="35">
        <f t="shared" si="16"/>
        <v>0</v>
      </c>
      <c r="BI29" s="35">
        <f t="shared" si="17"/>
        <v>0</v>
      </c>
      <c r="BJ29" s="35">
        <f t="shared" si="18"/>
        <v>0</v>
      </c>
      <c r="BK29" s="35">
        <f t="shared" si="40"/>
        <v>0</v>
      </c>
      <c r="BM29" s="35" t="e">
        <f t="shared" si="41"/>
        <v>#VALUE!</v>
      </c>
      <c r="BN29" s="35" t="e">
        <f t="shared" si="42"/>
        <v>#VALUE!</v>
      </c>
      <c r="BO29" s="35" t="e">
        <f t="shared" si="54"/>
        <v>#N/A</v>
      </c>
      <c r="BP29" s="35" t="e">
        <f t="shared" si="19"/>
        <v>#N/A</v>
      </c>
      <c r="BQ29" s="47" t="e">
        <f t="shared" si="20"/>
        <v>#VALUE!</v>
      </c>
      <c r="BS29" s="159">
        <f t="shared" si="59"/>
        <v>5</v>
      </c>
      <c r="BT29" s="159">
        <f t="shared" si="59"/>
        <v>4</v>
      </c>
      <c r="BU29" s="166" t="str">
        <f t="shared" si="43"/>
        <v>x</v>
      </c>
      <c r="BV29" s="167" t="str">
        <f t="shared" ref="BV29" si="63">INDEX(N$17:N$42,BS29)</f>
        <v/>
      </c>
    </row>
    <row r="30" spans="1:74" ht="36" customHeight="1" x14ac:dyDescent="0.45">
      <c r="A30" s="180">
        <v>14</v>
      </c>
      <c r="B30" s="181"/>
      <c r="C30" s="181"/>
      <c r="D30" s="181"/>
      <c r="E30" s="181"/>
      <c r="F30" s="181"/>
      <c r="H30" s="113" t="str">
        <f t="shared" si="2"/>
        <v/>
      </c>
      <c r="I30" s="113" t="str">
        <f t="shared" si="55"/>
        <v/>
      </c>
      <c r="J30" s="114" t="str">
        <f t="shared" si="21"/>
        <v/>
      </c>
      <c r="K30" s="113" t="str">
        <f t="shared" si="45"/>
        <v/>
      </c>
      <c r="L30" s="163" t="str">
        <f t="shared" si="22"/>
        <v/>
      </c>
      <c r="M30" s="115">
        <f t="shared" si="23"/>
        <v>0</v>
      </c>
      <c r="N30" s="116" t="str">
        <f t="shared" si="24"/>
        <v/>
      </c>
      <c r="O30" s="38"/>
      <c r="P30" s="38">
        <f t="shared" si="25"/>
        <v>0</v>
      </c>
      <c r="Q30" s="38" t="e">
        <f t="shared" si="3"/>
        <v>#VALUE!</v>
      </c>
      <c r="R30" s="38"/>
      <c r="S30" s="38"/>
      <c r="T30" s="38" t="e">
        <f t="shared" si="26"/>
        <v>#N/A</v>
      </c>
      <c r="U30" s="38" t="e">
        <f t="shared" si="4"/>
        <v>#N/A</v>
      </c>
      <c r="V30" s="38"/>
      <c r="W30" s="38" t="e">
        <f t="shared" si="46"/>
        <v>#N/A</v>
      </c>
      <c r="X30" s="38"/>
      <c r="Y30" s="58"/>
      <c r="Z30" s="38"/>
      <c r="AA30" s="58"/>
      <c r="AB30" s="38"/>
      <c r="AC30" s="75">
        <f t="shared" si="27"/>
        <v>0</v>
      </c>
      <c r="AD30" s="117" t="e">
        <f t="shared" si="28"/>
        <v>#N/A</v>
      </c>
      <c r="AE30" s="117" t="e">
        <f t="shared" si="29"/>
        <v>#N/A</v>
      </c>
      <c r="AF30" s="117" t="e">
        <f t="shared" si="30"/>
        <v>#N/A</v>
      </c>
      <c r="AG30" s="118">
        <f t="shared" si="31"/>
        <v>0</v>
      </c>
      <c r="AH30" s="118" t="e">
        <f t="shared" si="32"/>
        <v>#N/A</v>
      </c>
      <c r="AI30" s="118" t="e">
        <f t="shared" si="33"/>
        <v>#N/A</v>
      </c>
      <c r="AJ30" s="164">
        <f t="shared" si="47"/>
        <v>0</v>
      </c>
      <c r="AL30" s="75">
        <f t="shared" si="6"/>
        <v>0</v>
      </c>
      <c r="AM30" s="75">
        <f t="shared" si="48"/>
        <v>0</v>
      </c>
      <c r="AN30" s="75">
        <f t="shared" si="49"/>
        <v>0</v>
      </c>
      <c r="AO30" s="75">
        <f t="shared" si="50"/>
        <v>0</v>
      </c>
      <c r="AP30" s="165">
        <f t="shared" si="34"/>
        <v>0</v>
      </c>
      <c r="AQ30" s="75">
        <f t="shared" si="51"/>
        <v>0</v>
      </c>
      <c r="AR30" s="75">
        <f t="shared" si="52"/>
        <v>0</v>
      </c>
      <c r="AS30" s="75">
        <f t="shared" si="53"/>
        <v>0</v>
      </c>
      <c r="AT30" s="120">
        <f t="shared" si="35"/>
        <v>0</v>
      </c>
      <c r="AU30" s="87" t="e">
        <f t="shared" si="36"/>
        <v>#VALUE!</v>
      </c>
      <c r="AV30" s="75" t="e">
        <f t="shared" si="7"/>
        <v>#VALUE!</v>
      </c>
      <c r="AW30" s="75" t="e">
        <f t="shared" si="8"/>
        <v>#VALUE!</v>
      </c>
      <c r="AX30" s="75" t="e">
        <f t="shared" si="9"/>
        <v>#VALUE!</v>
      </c>
      <c r="AY30" s="75" t="e">
        <f t="shared" si="37"/>
        <v>#VALUE!</v>
      </c>
      <c r="AZ30" s="76">
        <f t="shared" si="38"/>
        <v>0</v>
      </c>
      <c r="BA30" s="35">
        <f t="shared" si="39"/>
        <v>0</v>
      </c>
      <c r="BB30" s="35">
        <f t="shared" si="10"/>
        <v>0</v>
      </c>
      <c r="BC30" s="35">
        <f t="shared" si="11"/>
        <v>0</v>
      </c>
      <c r="BD30" s="35">
        <f t="shared" si="12"/>
        <v>0</v>
      </c>
      <c r="BE30" s="35">
        <f t="shared" si="13"/>
        <v>0</v>
      </c>
      <c r="BF30" s="35">
        <f t="shared" si="14"/>
        <v>0</v>
      </c>
      <c r="BG30" s="35">
        <f t="shared" si="15"/>
        <v>0</v>
      </c>
      <c r="BH30" s="35">
        <f t="shared" si="16"/>
        <v>0</v>
      </c>
      <c r="BI30" s="35">
        <f t="shared" si="17"/>
        <v>0</v>
      </c>
      <c r="BJ30" s="35">
        <f t="shared" si="18"/>
        <v>0</v>
      </c>
      <c r="BK30" s="35">
        <f t="shared" si="40"/>
        <v>0</v>
      </c>
      <c r="BM30" s="35" t="e">
        <f t="shared" si="41"/>
        <v>#VALUE!</v>
      </c>
      <c r="BN30" s="35" t="e">
        <f t="shared" si="42"/>
        <v>#VALUE!</v>
      </c>
      <c r="BO30" s="35" t="e">
        <f t="shared" si="54"/>
        <v>#N/A</v>
      </c>
      <c r="BP30" s="35" t="e">
        <f t="shared" si="19"/>
        <v>#N/A</v>
      </c>
      <c r="BQ30" s="47" t="e">
        <f t="shared" si="20"/>
        <v>#VALUE!</v>
      </c>
      <c r="BS30" s="159">
        <f t="shared" si="59"/>
        <v>5</v>
      </c>
      <c r="BT30" s="159">
        <f t="shared" si="59"/>
        <v>6</v>
      </c>
      <c r="BU30" s="166" t="str">
        <f t="shared" si="43"/>
        <v>x</v>
      </c>
      <c r="BV30" s="167" t="str">
        <f t="shared" si="44"/>
        <v/>
      </c>
    </row>
    <row r="31" spans="1:74" ht="36" customHeight="1" x14ac:dyDescent="0.45">
      <c r="A31" s="178">
        <v>15</v>
      </c>
      <c r="B31" s="179"/>
      <c r="C31" s="179"/>
      <c r="D31" s="179"/>
      <c r="E31" s="179"/>
      <c r="F31" s="179"/>
      <c r="H31" s="113" t="str">
        <f t="shared" si="2"/>
        <v/>
      </c>
      <c r="I31" s="113" t="str">
        <f t="shared" si="55"/>
        <v/>
      </c>
      <c r="J31" s="114" t="str">
        <f t="shared" si="21"/>
        <v/>
      </c>
      <c r="K31" s="113" t="str">
        <f t="shared" si="45"/>
        <v/>
      </c>
      <c r="L31" s="163" t="str">
        <f>IF(ISBLANK(B31),"",I31*K31)</f>
        <v/>
      </c>
      <c r="M31" s="115">
        <f t="shared" si="23"/>
        <v>0</v>
      </c>
      <c r="N31" s="116" t="str">
        <f t="shared" si="24"/>
        <v/>
      </c>
      <c r="O31" s="38"/>
      <c r="P31" s="38">
        <f t="shared" si="25"/>
        <v>0</v>
      </c>
      <c r="Q31" s="38" t="e">
        <f t="shared" si="3"/>
        <v>#VALUE!</v>
      </c>
      <c r="R31" s="38"/>
      <c r="S31" s="38"/>
      <c r="T31" s="38" t="e">
        <f t="shared" si="26"/>
        <v>#N/A</v>
      </c>
      <c r="U31" s="38" t="e">
        <f t="shared" si="4"/>
        <v>#N/A</v>
      </c>
      <c r="V31" s="38"/>
      <c r="W31" s="38" t="e">
        <f t="shared" si="46"/>
        <v>#N/A</v>
      </c>
      <c r="X31" s="38"/>
      <c r="Y31" s="58"/>
      <c r="Z31" s="38"/>
      <c r="AA31" s="58"/>
      <c r="AB31" s="38"/>
      <c r="AC31" s="75">
        <f t="shared" si="27"/>
        <v>0</v>
      </c>
      <c r="AD31" s="117" t="e">
        <f t="shared" si="28"/>
        <v>#N/A</v>
      </c>
      <c r="AE31" s="117" t="e">
        <f t="shared" si="29"/>
        <v>#N/A</v>
      </c>
      <c r="AF31" s="117" t="e">
        <f t="shared" si="30"/>
        <v>#N/A</v>
      </c>
      <c r="AG31" s="118">
        <f t="shared" si="31"/>
        <v>0</v>
      </c>
      <c r="AH31" s="118" t="e">
        <f t="shared" si="32"/>
        <v>#N/A</v>
      </c>
      <c r="AI31" s="118" t="e">
        <f>IF($M31&lt;0.15,NA(),$M31)</f>
        <v>#N/A</v>
      </c>
      <c r="AJ31" s="164">
        <f t="shared" si="47"/>
        <v>0</v>
      </c>
      <c r="AL31" s="75">
        <f t="shared" si="6"/>
        <v>0</v>
      </c>
      <c r="AM31" s="75">
        <f t="shared" si="48"/>
        <v>0</v>
      </c>
      <c r="AN31" s="75">
        <f t="shared" si="49"/>
        <v>0</v>
      </c>
      <c r="AO31" s="75">
        <f t="shared" si="50"/>
        <v>0</v>
      </c>
      <c r="AP31" s="165">
        <f t="shared" si="34"/>
        <v>0</v>
      </c>
      <c r="AQ31" s="75">
        <f t="shared" si="51"/>
        <v>0</v>
      </c>
      <c r="AR31" s="75">
        <f t="shared" si="52"/>
        <v>0</v>
      </c>
      <c r="AS31" s="75">
        <f t="shared" si="53"/>
        <v>0</v>
      </c>
      <c r="AT31" s="120">
        <f t="shared" si="35"/>
        <v>0</v>
      </c>
      <c r="AU31" s="87" t="e">
        <f t="shared" si="36"/>
        <v>#VALUE!</v>
      </c>
      <c r="AV31" s="75" t="e">
        <f t="shared" si="7"/>
        <v>#VALUE!</v>
      </c>
      <c r="AW31" s="75" t="e">
        <f t="shared" si="8"/>
        <v>#VALUE!</v>
      </c>
      <c r="AX31" s="75" t="e">
        <f t="shared" si="9"/>
        <v>#VALUE!</v>
      </c>
      <c r="AY31" s="75" t="e">
        <f t="shared" si="37"/>
        <v>#VALUE!</v>
      </c>
      <c r="AZ31" s="76">
        <f t="shared" si="38"/>
        <v>0</v>
      </c>
      <c r="BA31" s="35">
        <f t="shared" si="39"/>
        <v>0</v>
      </c>
      <c r="BB31" s="35">
        <f t="shared" si="10"/>
        <v>0</v>
      </c>
      <c r="BC31" s="35">
        <f t="shared" si="11"/>
        <v>0</v>
      </c>
      <c r="BD31" s="35">
        <f t="shared" si="12"/>
        <v>0</v>
      </c>
      <c r="BE31" s="35">
        <f t="shared" si="13"/>
        <v>0</v>
      </c>
      <c r="BF31" s="35">
        <f t="shared" si="14"/>
        <v>0</v>
      </c>
      <c r="BG31" s="35">
        <f t="shared" si="15"/>
        <v>0</v>
      </c>
      <c r="BH31" s="35">
        <f t="shared" si="16"/>
        <v>0</v>
      </c>
      <c r="BI31" s="35">
        <f t="shared" si="17"/>
        <v>0</v>
      </c>
      <c r="BJ31" s="35">
        <f t="shared" si="18"/>
        <v>0</v>
      </c>
      <c r="BK31" s="35">
        <f t="shared" si="40"/>
        <v>0</v>
      </c>
      <c r="BM31" s="35" t="e">
        <f t="shared" si="41"/>
        <v>#VALUE!</v>
      </c>
      <c r="BN31" s="35" t="e">
        <f t="shared" si="42"/>
        <v>#VALUE!</v>
      </c>
      <c r="BO31" s="35" t="e">
        <f t="shared" si="54"/>
        <v>#N/A</v>
      </c>
      <c r="BP31" s="35" t="e">
        <f t="shared" si="19"/>
        <v>#N/A</v>
      </c>
      <c r="BQ31" s="47" t="e">
        <f t="shared" si="20"/>
        <v>#VALUE!</v>
      </c>
      <c r="BS31" s="159">
        <f t="shared" si="59"/>
        <v>5</v>
      </c>
      <c r="BT31" s="159">
        <f t="shared" si="59"/>
        <v>6</v>
      </c>
      <c r="BU31" s="166" t="str">
        <f t="shared" si="43"/>
        <v>x</v>
      </c>
      <c r="BV31" s="167" t="str">
        <f t="shared" ref="BV31" si="64">IF(ISBLANK(INDEX(B$17:B$42,BS31)),BV30,$BV$15)</f>
        <v/>
      </c>
    </row>
    <row r="32" spans="1:74" ht="36" customHeight="1" x14ac:dyDescent="0.45">
      <c r="A32" s="180">
        <v>16</v>
      </c>
      <c r="B32" s="184"/>
      <c r="C32" s="185"/>
      <c r="D32" s="182"/>
      <c r="E32" s="182"/>
      <c r="F32" s="181"/>
      <c r="H32" s="113" t="str">
        <f t="shared" si="2"/>
        <v/>
      </c>
      <c r="I32" s="113" t="str">
        <f t="shared" si="55"/>
        <v/>
      </c>
      <c r="J32" s="114" t="str">
        <f t="shared" si="21"/>
        <v/>
      </c>
      <c r="K32" s="113" t="str">
        <f t="shared" si="45"/>
        <v/>
      </c>
      <c r="L32" s="163" t="str">
        <f t="shared" ref="L32:L42" si="65">IF(ISBLANK(B32),"",I32*K32)</f>
        <v/>
      </c>
      <c r="M32" s="115">
        <f t="shared" si="23"/>
        <v>0</v>
      </c>
      <c r="N32" s="116" t="str">
        <f t="shared" si="24"/>
        <v/>
      </c>
      <c r="O32" s="38"/>
      <c r="P32" s="38">
        <f t="shared" si="25"/>
        <v>0</v>
      </c>
      <c r="Q32" s="38" t="e">
        <f t="shared" si="3"/>
        <v>#VALUE!</v>
      </c>
      <c r="R32" s="38"/>
      <c r="S32" s="38"/>
      <c r="T32" s="38" t="e">
        <f t="shared" si="26"/>
        <v>#N/A</v>
      </c>
      <c r="U32" s="38" t="e">
        <f t="shared" si="4"/>
        <v>#N/A</v>
      </c>
      <c r="V32" s="38"/>
      <c r="W32" s="38" t="e">
        <f t="shared" si="46"/>
        <v>#N/A</v>
      </c>
      <c r="X32" s="38"/>
      <c r="Y32" s="58"/>
      <c r="Z32" s="38"/>
      <c r="AA32" s="58"/>
      <c r="AB32" s="38"/>
      <c r="AC32" s="75">
        <f t="shared" si="27"/>
        <v>0</v>
      </c>
      <c r="AD32" s="117" t="e">
        <f t="shared" si="28"/>
        <v>#N/A</v>
      </c>
      <c r="AE32" s="117" t="e">
        <f t="shared" si="29"/>
        <v>#N/A</v>
      </c>
      <c r="AF32" s="117" t="e">
        <f t="shared" si="30"/>
        <v>#N/A</v>
      </c>
      <c r="AG32" s="118">
        <f t="shared" si="31"/>
        <v>0</v>
      </c>
      <c r="AH32" s="118" t="e">
        <f t="shared" si="32"/>
        <v>#N/A</v>
      </c>
      <c r="AI32" s="118" t="e">
        <f t="shared" si="33"/>
        <v>#N/A</v>
      </c>
      <c r="AJ32" s="164">
        <f t="shared" si="47"/>
        <v>0</v>
      </c>
      <c r="AL32" s="75">
        <f t="shared" si="6"/>
        <v>0</v>
      </c>
      <c r="AM32" s="75">
        <f t="shared" si="48"/>
        <v>0</v>
      </c>
      <c r="AN32" s="75">
        <f t="shared" si="49"/>
        <v>0</v>
      </c>
      <c r="AO32" s="75">
        <f t="shared" si="50"/>
        <v>0</v>
      </c>
      <c r="AP32" s="165">
        <f t="shared" si="34"/>
        <v>0</v>
      </c>
      <c r="AQ32" s="75">
        <f t="shared" si="51"/>
        <v>0</v>
      </c>
      <c r="AR32" s="75">
        <f t="shared" si="52"/>
        <v>0</v>
      </c>
      <c r="AS32" s="75">
        <f>IF(AP32=0,0,IF(ISBLANK(#REF!),$AA$11/I31,$AA$11/I32))</f>
        <v>0</v>
      </c>
      <c r="AT32" s="120">
        <f t="shared" si="35"/>
        <v>0</v>
      </c>
      <c r="AU32" s="87" t="e">
        <f t="shared" si="36"/>
        <v>#VALUE!</v>
      </c>
      <c r="AV32" s="75" t="e">
        <f t="shared" si="7"/>
        <v>#VALUE!</v>
      </c>
      <c r="AW32" s="75" t="e">
        <f t="shared" si="8"/>
        <v>#VALUE!</v>
      </c>
      <c r="AX32" s="75" t="e">
        <f t="shared" si="9"/>
        <v>#VALUE!</v>
      </c>
      <c r="AY32" s="75" t="e">
        <f t="shared" si="37"/>
        <v>#VALUE!</v>
      </c>
      <c r="AZ32" s="76">
        <f t="shared" si="38"/>
        <v>0</v>
      </c>
      <c r="BA32" s="35">
        <f t="shared" si="39"/>
        <v>0</v>
      </c>
      <c r="BB32" s="35">
        <f t="shared" si="10"/>
        <v>0</v>
      </c>
      <c r="BC32" s="35">
        <f t="shared" si="11"/>
        <v>0</v>
      </c>
      <c r="BD32" s="35">
        <f t="shared" si="12"/>
        <v>0</v>
      </c>
      <c r="BE32" s="35">
        <f t="shared" si="13"/>
        <v>0</v>
      </c>
      <c r="BF32" s="35">
        <f t="shared" si="14"/>
        <v>0</v>
      </c>
      <c r="BG32" s="35">
        <f t="shared" si="15"/>
        <v>0</v>
      </c>
      <c r="BH32" s="35">
        <f t="shared" si="16"/>
        <v>0</v>
      </c>
      <c r="BI32" s="35">
        <f t="shared" si="17"/>
        <v>0</v>
      </c>
      <c r="BJ32" s="35">
        <f t="shared" si="18"/>
        <v>0</v>
      </c>
      <c r="BK32" s="35">
        <f t="shared" si="40"/>
        <v>0</v>
      </c>
      <c r="BM32" s="35" t="e">
        <f t="shared" si="41"/>
        <v>#VALUE!</v>
      </c>
      <c r="BN32" s="35" t="e">
        <f t="shared" si="42"/>
        <v>#VALUE!</v>
      </c>
      <c r="BO32" s="35" t="e">
        <f t="shared" si="54"/>
        <v>#N/A</v>
      </c>
      <c r="BP32" s="35" t="e">
        <f t="shared" si="19"/>
        <v>#N/A</v>
      </c>
      <c r="BQ32" s="47" t="e">
        <f t="shared" si="20"/>
        <v>#VALUE!</v>
      </c>
      <c r="BS32" s="159">
        <f t="shared" si="59"/>
        <v>6</v>
      </c>
      <c r="BT32" s="159">
        <f t="shared" si="59"/>
        <v>5</v>
      </c>
      <c r="BU32" s="166" t="str">
        <f t="shared" si="43"/>
        <v>x</v>
      </c>
      <c r="BV32" s="167" t="str">
        <f t="shared" ref="BV32" si="66">INDEX(N$17:N$42,BS32)</f>
        <v/>
      </c>
    </row>
    <row r="33" spans="1:74" ht="36" customHeight="1" x14ac:dyDescent="0.45">
      <c r="A33" s="178">
        <v>17</v>
      </c>
      <c r="B33" s="179"/>
      <c r="C33" s="179"/>
      <c r="D33" s="179"/>
      <c r="E33" s="179"/>
      <c r="F33" s="179"/>
      <c r="H33" s="113" t="str">
        <f t="shared" si="2"/>
        <v/>
      </c>
      <c r="I33" s="113" t="str">
        <f t="shared" si="55"/>
        <v/>
      </c>
      <c r="J33" s="114" t="str">
        <f t="shared" si="21"/>
        <v/>
      </c>
      <c r="K33" s="113" t="str">
        <f t="shared" si="45"/>
        <v/>
      </c>
      <c r="L33" s="163" t="str">
        <f t="shared" si="65"/>
        <v/>
      </c>
      <c r="M33" s="115">
        <f t="shared" si="23"/>
        <v>0</v>
      </c>
      <c r="N33" s="116" t="str">
        <f t="shared" si="24"/>
        <v/>
      </c>
      <c r="O33" s="38"/>
      <c r="P33" s="38">
        <f t="shared" si="25"/>
        <v>0</v>
      </c>
      <c r="Q33" s="38" t="e">
        <f t="shared" si="3"/>
        <v>#VALUE!</v>
      </c>
      <c r="R33" s="38"/>
      <c r="S33" s="38"/>
      <c r="T33" s="38" t="e">
        <f t="shared" si="26"/>
        <v>#N/A</v>
      </c>
      <c r="U33" s="38" t="e">
        <f t="shared" si="4"/>
        <v>#N/A</v>
      </c>
      <c r="V33" s="38"/>
      <c r="W33" s="38" t="e">
        <f t="shared" si="46"/>
        <v>#N/A</v>
      </c>
      <c r="X33" s="38"/>
      <c r="Y33" s="58"/>
      <c r="Z33" s="38"/>
      <c r="AA33" s="58"/>
      <c r="AB33" s="38"/>
      <c r="AC33" s="75">
        <f t="shared" si="27"/>
        <v>0</v>
      </c>
      <c r="AD33" s="117" t="e">
        <f t="shared" si="28"/>
        <v>#N/A</v>
      </c>
      <c r="AE33" s="117" t="e">
        <f t="shared" si="29"/>
        <v>#N/A</v>
      </c>
      <c r="AF33" s="117" t="e">
        <f t="shared" si="30"/>
        <v>#N/A</v>
      </c>
      <c r="AG33" s="118">
        <f t="shared" si="31"/>
        <v>0</v>
      </c>
      <c r="AH33" s="118" t="e">
        <f t="shared" si="32"/>
        <v>#N/A</v>
      </c>
      <c r="AI33" s="118" t="e">
        <f t="shared" si="33"/>
        <v>#N/A</v>
      </c>
      <c r="AJ33" s="164">
        <f t="shared" si="47"/>
        <v>0</v>
      </c>
      <c r="AL33" s="75">
        <f t="shared" si="6"/>
        <v>0</v>
      </c>
      <c r="AM33" s="75">
        <f t="shared" si="48"/>
        <v>0</v>
      </c>
      <c r="AN33" s="75">
        <f t="shared" si="49"/>
        <v>0</v>
      </c>
      <c r="AO33" s="75">
        <f t="shared" si="50"/>
        <v>0</v>
      </c>
      <c r="AP33" s="165">
        <f t="shared" si="34"/>
        <v>0</v>
      </c>
      <c r="AQ33" s="75">
        <f t="shared" si="51"/>
        <v>0</v>
      </c>
      <c r="AR33" s="75">
        <f t="shared" si="52"/>
        <v>0</v>
      </c>
      <c r="AS33" s="75">
        <f t="shared" ref="AS33:AS39" si="67">IF(AP33=0,0,IF(ISBLANK(D32),$AA$11/I32,$AA$11/I33))</f>
        <v>0</v>
      </c>
      <c r="AT33" s="120">
        <f t="shared" si="35"/>
        <v>0</v>
      </c>
      <c r="AU33" s="87" t="e">
        <f t="shared" si="36"/>
        <v>#VALUE!</v>
      </c>
      <c r="AV33" s="75" t="e">
        <f t="shared" si="7"/>
        <v>#VALUE!</v>
      </c>
      <c r="AW33" s="75" t="e">
        <f t="shared" si="8"/>
        <v>#VALUE!</v>
      </c>
      <c r="AX33" s="75" t="e">
        <f t="shared" si="9"/>
        <v>#VALUE!</v>
      </c>
      <c r="AY33" s="75" t="e">
        <f t="shared" si="37"/>
        <v>#VALUE!</v>
      </c>
      <c r="AZ33" s="76">
        <f t="shared" si="38"/>
        <v>0</v>
      </c>
      <c r="BA33" s="35">
        <f t="shared" si="39"/>
        <v>0</v>
      </c>
      <c r="BB33" s="35">
        <f t="shared" si="10"/>
        <v>0</v>
      </c>
      <c r="BC33" s="35">
        <f t="shared" si="11"/>
        <v>0</v>
      </c>
      <c r="BD33" s="35">
        <f t="shared" si="12"/>
        <v>0</v>
      </c>
      <c r="BE33" s="35">
        <f t="shared" si="13"/>
        <v>0</v>
      </c>
      <c r="BF33" s="35">
        <f t="shared" si="14"/>
        <v>0</v>
      </c>
      <c r="BG33" s="35">
        <f t="shared" si="15"/>
        <v>0</v>
      </c>
      <c r="BH33" s="35">
        <f t="shared" si="16"/>
        <v>0</v>
      </c>
      <c r="BI33" s="35">
        <f t="shared" si="17"/>
        <v>0</v>
      </c>
      <c r="BJ33" s="35">
        <f t="shared" si="18"/>
        <v>0</v>
      </c>
      <c r="BK33" s="35">
        <f t="shared" si="40"/>
        <v>0</v>
      </c>
      <c r="BM33" s="35" t="e">
        <f t="shared" si="41"/>
        <v>#VALUE!</v>
      </c>
      <c r="BN33" s="35" t="e">
        <f t="shared" si="42"/>
        <v>#VALUE!</v>
      </c>
      <c r="BO33" s="35" t="e">
        <f t="shared" si="54"/>
        <v>#N/A</v>
      </c>
      <c r="BP33" s="35" t="e">
        <f t="shared" si="19"/>
        <v>#N/A</v>
      </c>
      <c r="BQ33" s="47" t="e">
        <f t="shared" si="20"/>
        <v>#VALUE!</v>
      </c>
      <c r="BS33" s="159">
        <f t="shared" si="59"/>
        <v>6</v>
      </c>
      <c r="BT33" s="159">
        <f t="shared" si="59"/>
        <v>7</v>
      </c>
      <c r="BU33" s="166" t="str">
        <f t="shared" si="43"/>
        <v>x</v>
      </c>
      <c r="BV33" s="167" t="str">
        <f t="shared" si="44"/>
        <v/>
      </c>
    </row>
    <row r="34" spans="1:74" ht="36" customHeight="1" x14ac:dyDescent="0.45">
      <c r="A34" s="180">
        <v>18</v>
      </c>
      <c r="B34" s="181"/>
      <c r="C34" s="181"/>
      <c r="D34" s="181"/>
      <c r="E34" s="181"/>
      <c r="F34" s="181"/>
      <c r="H34" s="113" t="str">
        <f t="shared" si="2"/>
        <v/>
      </c>
      <c r="I34" s="113" t="str">
        <f t="shared" si="55"/>
        <v/>
      </c>
      <c r="J34" s="114" t="str">
        <f t="shared" si="21"/>
        <v/>
      </c>
      <c r="K34" s="113" t="str">
        <f t="shared" si="45"/>
        <v/>
      </c>
      <c r="L34" s="163" t="str">
        <f t="shared" si="65"/>
        <v/>
      </c>
      <c r="M34" s="115">
        <f t="shared" si="23"/>
        <v>0</v>
      </c>
      <c r="N34" s="116" t="str">
        <f t="shared" si="24"/>
        <v/>
      </c>
      <c r="O34" s="38"/>
      <c r="P34" s="38">
        <f t="shared" si="25"/>
        <v>0</v>
      </c>
      <c r="Q34" s="38" t="e">
        <f t="shared" si="3"/>
        <v>#VALUE!</v>
      </c>
      <c r="R34" s="38"/>
      <c r="S34" s="38"/>
      <c r="T34" s="38" t="e">
        <f t="shared" si="26"/>
        <v>#N/A</v>
      </c>
      <c r="U34" s="38" t="e">
        <f t="shared" si="4"/>
        <v>#N/A</v>
      </c>
      <c r="V34" s="38"/>
      <c r="W34" s="38" t="e">
        <f t="shared" si="46"/>
        <v>#N/A</v>
      </c>
      <c r="X34" s="38"/>
      <c r="Y34" s="58"/>
      <c r="Z34" s="38"/>
      <c r="AA34" s="58"/>
      <c r="AB34" s="38"/>
      <c r="AC34" s="75">
        <f t="shared" si="27"/>
        <v>0</v>
      </c>
      <c r="AD34" s="117" t="e">
        <f t="shared" si="28"/>
        <v>#N/A</v>
      </c>
      <c r="AE34" s="117" t="e">
        <f t="shared" si="29"/>
        <v>#N/A</v>
      </c>
      <c r="AF34" s="117" t="e">
        <f t="shared" si="30"/>
        <v>#N/A</v>
      </c>
      <c r="AG34" s="118">
        <f t="shared" si="31"/>
        <v>0</v>
      </c>
      <c r="AH34" s="118" t="e">
        <f t="shared" si="32"/>
        <v>#N/A</v>
      </c>
      <c r="AI34" s="118" t="e">
        <f t="shared" si="33"/>
        <v>#N/A</v>
      </c>
      <c r="AJ34" s="164">
        <f t="shared" si="47"/>
        <v>0</v>
      </c>
      <c r="AL34" s="75">
        <f t="shared" si="6"/>
        <v>0</v>
      </c>
      <c r="AM34" s="75">
        <f t="shared" si="48"/>
        <v>0</v>
      </c>
      <c r="AN34" s="75">
        <f t="shared" si="49"/>
        <v>0</v>
      </c>
      <c r="AO34" s="75">
        <f t="shared" si="50"/>
        <v>0</v>
      </c>
      <c r="AP34" s="165">
        <f t="shared" si="34"/>
        <v>0</v>
      </c>
      <c r="AQ34" s="75">
        <f t="shared" si="51"/>
        <v>0</v>
      </c>
      <c r="AR34" s="75">
        <f t="shared" si="52"/>
        <v>0</v>
      </c>
      <c r="AS34" s="75">
        <f t="shared" si="67"/>
        <v>0</v>
      </c>
      <c r="AT34" s="120">
        <f t="shared" si="35"/>
        <v>0</v>
      </c>
      <c r="AU34" s="87" t="e">
        <f t="shared" si="36"/>
        <v>#VALUE!</v>
      </c>
      <c r="AV34" s="75" t="e">
        <f t="shared" si="7"/>
        <v>#VALUE!</v>
      </c>
      <c r="AW34" s="75" t="e">
        <f t="shared" si="8"/>
        <v>#VALUE!</v>
      </c>
      <c r="AX34" s="75" t="e">
        <f t="shared" si="9"/>
        <v>#VALUE!</v>
      </c>
      <c r="AY34" s="75" t="e">
        <f t="shared" si="37"/>
        <v>#VALUE!</v>
      </c>
      <c r="AZ34" s="76">
        <f t="shared" si="38"/>
        <v>0</v>
      </c>
      <c r="BA34" s="35">
        <f t="shared" si="39"/>
        <v>0</v>
      </c>
      <c r="BB34" s="35">
        <f t="shared" si="10"/>
        <v>0</v>
      </c>
      <c r="BC34" s="35">
        <f t="shared" si="11"/>
        <v>0</v>
      </c>
      <c r="BD34" s="35">
        <f t="shared" si="12"/>
        <v>0</v>
      </c>
      <c r="BE34" s="35">
        <f t="shared" si="13"/>
        <v>0</v>
      </c>
      <c r="BF34" s="35">
        <f t="shared" si="14"/>
        <v>0</v>
      </c>
      <c r="BG34" s="35">
        <f t="shared" si="15"/>
        <v>0</v>
      </c>
      <c r="BH34" s="35">
        <f t="shared" si="16"/>
        <v>0</v>
      </c>
      <c r="BI34" s="35">
        <f t="shared" si="17"/>
        <v>0</v>
      </c>
      <c r="BJ34" s="35">
        <f t="shared" si="18"/>
        <v>0</v>
      </c>
      <c r="BK34" s="35">
        <f t="shared" si="40"/>
        <v>0</v>
      </c>
      <c r="BM34" s="35" t="e">
        <f t="shared" si="41"/>
        <v>#VALUE!</v>
      </c>
      <c r="BN34" s="35" t="e">
        <f t="shared" si="42"/>
        <v>#VALUE!</v>
      </c>
      <c r="BO34" s="35" t="e">
        <f t="shared" si="54"/>
        <v>#N/A</v>
      </c>
      <c r="BP34" s="35" t="e">
        <f t="shared" si="19"/>
        <v>#N/A</v>
      </c>
      <c r="BQ34" s="47" t="e">
        <f t="shared" si="20"/>
        <v>#VALUE!</v>
      </c>
      <c r="BS34" s="159">
        <f t="shared" si="59"/>
        <v>6</v>
      </c>
      <c r="BT34" s="159">
        <f t="shared" si="59"/>
        <v>7</v>
      </c>
      <c r="BU34" s="166" t="str">
        <f t="shared" si="43"/>
        <v>x</v>
      </c>
      <c r="BV34" s="167" t="str">
        <f t="shared" ref="BV34" si="68">IF(ISBLANK(INDEX(B$17:B$42,BS34)),BV33,$BV$15)</f>
        <v/>
      </c>
    </row>
    <row r="35" spans="1:74" ht="36" customHeight="1" x14ac:dyDescent="0.45">
      <c r="A35" s="178">
        <v>19</v>
      </c>
      <c r="B35" s="179"/>
      <c r="C35" s="179"/>
      <c r="D35" s="179"/>
      <c r="E35" s="179"/>
      <c r="F35" s="179"/>
      <c r="H35" s="113" t="str">
        <f t="shared" si="2"/>
        <v/>
      </c>
      <c r="I35" s="113" t="str">
        <f t="shared" si="55"/>
        <v/>
      </c>
      <c r="J35" s="114" t="str">
        <f t="shared" si="21"/>
        <v/>
      </c>
      <c r="K35" s="113" t="str">
        <f t="shared" si="45"/>
        <v/>
      </c>
      <c r="L35" s="163" t="str">
        <f t="shared" si="65"/>
        <v/>
      </c>
      <c r="M35" s="115">
        <f t="shared" si="23"/>
        <v>0</v>
      </c>
      <c r="N35" s="116" t="str">
        <f t="shared" si="24"/>
        <v/>
      </c>
      <c r="O35" s="38"/>
      <c r="P35" s="38">
        <f t="shared" si="25"/>
        <v>0</v>
      </c>
      <c r="Q35" s="38" t="e">
        <f t="shared" si="3"/>
        <v>#VALUE!</v>
      </c>
      <c r="R35" s="38"/>
      <c r="S35" s="38"/>
      <c r="T35" s="38" t="e">
        <f t="shared" si="26"/>
        <v>#N/A</v>
      </c>
      <c r="U35" s="38" t="e">
        <f t="shared" si="4"/>
        <v>#N/A</v>
      </c>
      <c r="V35" s="38"/>
      <c r="W35" s="38" t="e">
        <f t="shared" si="46"/>
        <v>#N/A</v>
      </c>
      <c r="X35" s="38"/>
      <c r="Y35" s="58"/>
      <c r="Z35" s="38"/>
      <c r="AA35" s="58"/>
      <c r="AB35" s="38"/>
      <c r="AC35" s="75">
        <f t="shared" si="27"/>
        <v>0</v>
      </c>
      <c r="AD35" s="117" t="e">
        <f t="shared" si="28"/>
        <v>#N/A</v>
      </c>
      <c r="AE35" s="117" t="e">
        <f t="shared" si="29"/>
        <v>#N/A</v>
      </c>
      <c r="AF35" s="117" t="e">
        <f t="shared" si="30"/>
        <v>#N/A</v>
      </c>
      <c r="AG35" s="118">
        <f t="shared" si="31"/>
        <v>0</v>
      </c>
      <c r="AH35" s="118" t="e">
        <f t="shared" si="32"/>
        <v>#N/A</v>
      </c>
      <c r="AI35" s="118" t="e">
        <f t="shared" si="33"/>
        <v>#N/A</v>
      </c>
      <c r="AJ35" s="164">
        <f t="shared" si="47"/>
        <v>0</v>
      </c>
      <c r="AL35" s="75">
        <f t="shared" si="6"/>
        <v>0</v>
      </c>
      <c r="AM35" s="75">
        <f t="shared" si="48"/>
        <v>0</v>
      </c>
      <c r="AN35" s="75">
        <f t="shared" si="49"/>
        <v>0</v>
      </c>
      <c r="AO35" s="75">
        <f t="shared" si="50"/>
        <v>0</v>
      </c>
      <c r="AP35" s="165">
        <f t="shared" si="34"/>
        <v>0</v>
      </c>
      <c r="AQ35" s="75">
        <f t="shared" si="51"/>
        <v>0</v>
      </c>
      <c r="AR35" s="75">
        <f t="shared" si="52"/>
        <v>0</v>
      </c>
      <c r="AS35" s="75">
        <f t="shared" si="67"/>
        <v>0</v>
      </c>
      <c r="AT35" s="120">
        <f t="shared" si="35"/>
        <v>0</v>
      </c>
      <c r="AU35" s="87" t="e">
        <f t="shared" si="36"/>
        <v>#VALUE!</v>
      </c>
      <c r="AV35" s="75" t="e">
        <f t="shared" si="7"/>
        <v>#VALUE!</v>
      </c>
      <c r="AW35" s="75" t="e">
        <f t="shared" si="8"/>
        <v>#VALUE!</v>
      </c>
      <c r="AX35" s="75" t="e">
        <f t="shared" si="9"/>
        <v>#VALUE!</v>
      </c>
      <c r="AY35" s="75" t="e">
        <f t="shared" si="37"/>
        <v>#VALUE!</v>
      </c>
      <c r="AZ35" s="76">
        <f t="shared" si="38"/>
        <v>0</v>
      </c>
      <c r="BA35" s="35">
        <f t="shared" si="39"/>
        <v>0</v>
      </c>
      <c r="BB35" s="35">
        <f t="shared" si="10"/>
        <v>0</v>
      </c>
      <c r="BC35" s="35">
        <f t="shared" si="11"/>
        <v>0</v>
      </c>
      <c r="BD35" s="35">
        <f t="shared" si="12"/>
        <v>0</v>
      </c>
      <c r="BE35" s="35">
        <f t="shared" si="13"/>
        <v>0</v>
      </c>
      <c r="BF35" s="35">
        <f t="shared" si="14"/>
        <v>0</v>
      </c>
      <c r="BG35" s="35">
        <f t="shared" si="15"/>
        <v>0</v>
      </c>
      <c r="BH35" s="35">
        <f t="shared" si="16"/>
        <v>0</v>
      </c>
      <c r="BI35" s="35">
        <f t="shared" si="17"/>
        <v>0</v>
      </c>
      <c r="BJ35" s="35">
        <f t="shared" si="18"/>
        <v>0</v>
      </c>
      <c r="BK35" s="35">
        <f t="shared" si="40"/>
        <v>0</v>
      </c>
      <c r="BM35" s="35" t="e">
        <f t="shared" si="41"/>
        <v>#VALUE!</v>
      </c>
      <c r="BN35" s="35" t="e">
        <f t="shared" si="42"/>
        <v>#VALUE!</v>
      </c>
      <c r="BO35" s="35" t="e">
        <f t="shared" si="54"/>
        <v>#N/A</v>
      </c>
      <c r="BP35" s="35" t="e">
        <f t="shared" si="19"/>
        <v>#N/A</v>
      </c>
      <c r="BQ35" s="47" t="e">
        <f t="shared" si="20"/>
        <v>#VALUE!</v>
      </c>
      <c r="BS35" s="159">
        <f t="shared" si="59"/>
        <v>7</v>
      </c>
      <c r="BT35" s="159">
        <f t="shared" si="59"/>
        <v>6</v>
      </c>
      <c r="BU35" s="166" t="str">
        <f t="shared" si="43"/>
        <v>x</v>
      </c>
      <c r="BV35" s="167" t="str">
        <f t="shared" ref="BV35" si="69">INDEX(N$17:N$42,BS35)</f>
        <v/>
      </c>
    </row>
    <row r="36" spans="1:74" ht="36" customHeight="1" x14ac:dyDescent="0.45">
      <c r="A36" s="180">
        <v>20</v>
      </c>
      <c r="B36" s="181"/>
      <c r="C36" s="181"/>
      <c r="D36" s="181"/>
      <c r="E36" s="181"/>
      <c r="F36" s="181"/>
      <c r="H36" s="113" t="str">
        <f t="shared" si="2"/>
        <v/>
      </c>
      <c r="I36" s="113" t="str">
        <f t="shared" si="55"/>
        <v/>
      </c>
      <c r="J36" s="114" t="str">
        <f t="shared" si="21"/>
        <v/>
      </c>
      <c r="K36" s="113" t="str">
        <f t="shared" si="45"/>
        <v/>
      </c>
      <c r="L36" s="163" t="str">
        <f t="shared" si="65"/>
        <v/>
      </c>
      <c r="M36" s="115">
        <f t="shared" si="23"/>
        <v>0</v>
      </c>
      <c r="N36" s="116" t="str">
        <f t="shared" si="24"/>
        <v/>
      </c>
      <c r="O36" s="38"/>
      <c r="P36" s="38">
        <f t="shared" si="25"/>
        <v>0</v>
      </c>
      <c r="Q36" s="38" t="e">
        <f t="shared" si="3"/>
        <v>#VALUE!</v>
      </c>
      <c r="R36" s="38"/>
      <c r="S36" s="38"/>
      <c r="T36" s="38" t="e">
        <f t="shared" si="26"/>
        <v>#N/A</v>
      </c>
      <c r="U36" s="38" t="e">
        <f t="shared" si="4"/>
        <v>#N/A</v>
      </c>
      <c r="V36" s="38"/>
      <c r="W36" s="38" t="e">
        <f t="shared" si="46"/>
        <v>#N/A</v>
      </c>
      <c r="X36" s="38"/>
      <c r="Y36" s="58"/>
      <c r="Z36" s="38"/>
      <c r="AA36" s="58"/>
      <c r="AB36" s="38"/>
      <c r="AC36" s="75">
        <f t="shared" si="27"/>
        <v>0</v>
      </c>
      <c r="AD36" s="117" t="e">
        <f t="shared" si="28"/>
        <v>#N/A</v>
      </c>
      <c r="AE36" s="117" t="e">
        <f t="shared" si="29"/>
        <v>#N/A</v>
      </c>
      <c r="AF36" s="117" t="e">
        <f t="shared" si="30"/>
        <v>#N/A</v>
      </c>
      <c r="AG36" s="118">
        <f t="shared" si="31"/>
        <v>0</v>
      </c>
      <c r="AH36" s="118" t="e">
        <f t="shared" si="32"/>
        <v>#N/A</v>
      </c>
      <c r="AI36" s="118" t="e">
        <f t="shared" si="33"/>
        <v>#N/A</v>
      </c>
      <c r="AJ36" s="164">
        <f t="shared" si="47"/>
        <v>0</v>
      </c>
      <c r="AL36" s="75">
        <f t="shared" si="6"/>
        <v>0</v>
      </c>
      <c r="AM36" s="75">
        <f t="shared" si="48"/>
        <v>0</v>
      </c>
      <c r="AN36" s="75">
        <f t="shared" si="49"/>
        <v>0</v>
      </c>
      <c r="AO36" s="75">
        <f t="shared" si="50"/>
        <v>0</v>
      </c>
      <c r="AP36" s="165">
        <f t="shared" si="34"/>
        <v>0</v>
      </c>
      <c r="AQ36" s="75">
        <f t="shared" si="51"/>
        <v>0</v>
      </c>
      <c r="AR36" s="75">
        <f t="shared" si="52"/>
        <v>0</v>
      </c>
      <c r="AS36" s="75">
        <f t="shared" si="67"/>
        <v>0</v>
      </c>
      <c r="AT36" s="120">
        <f t="shared" si="35"/>
        <v>0</v>
      </c>
      <c r="AU36" s="87" t="e">
        <f t="shared" si="36"/>
        <v>#VALUE!</v>
      </c>
      <c r="AV36" s="75" t="e">
        <f t="shared" si="7"/>
        <v>#VALUE!</v>
      </c>
      <c r="AW36" s="75" t="e">
        <f t="shared" si="8"/>
        <v>#VALUE!</v>
      </c>
      <c r="AX36" s="75" t="e">
        <f t="shared" si="9"/>
        <v>#VALUE!</v>
      </c>
      <c r="AY36" s="75" t="e">
        <f t="shared" si="37"/>
        <v>#VALUE!</v>
      </c>
      <c r="AZ36" s="76">
        <f t="shared" si="38"/>
        <v>0</v>
      </c>
      <c r="BA36" s="35">
        <f t="shared" si="39"/>
        <v>0</v>
      </c>
      <c r="BB36" s="35">
        <f t="shared" si="10"/>
        <v>0</v>
      </c>
      <c r="BC36" s="35">
        <f t="shared" si="11"/>
        <v>0</v>
      </c>
      <c r="BD36" s="35">
        <f t="shared" si="12"/>
        <v>0</v>
      </c>
      <c r="BE36" s="35">
        <f t="shared" si="13"/>
        <v>0</v>
      </c>
      <c r="BF36" s="35">
        <f t="shared" si="14"/>
        <v>0</v>
      </c>
      <c r="BG36" s="35">
        <f t="shared" si="15"/>
        <v>0</v>
      </c>
      <c r="BH36" s="35">
        <f t="shared" si="16"/>
        <v>0</v>
      </c>
      <c r="BI36" s="35">
        <f t="shared" si="17"/>
        <v>0</v>
      </c>
      <c r="BJ36" s="35">
        <f t="shared" si="18"/>
        <v>0</v>
      </c>
      <c r="BK36" s="35">
        <f t="shared" si="40"/>
        <v>0</v>
      </c>
      <c r="BM36" s="35" t="e">
        <f t="shared" si="41"/>
        <v>#VALUE!</v>
      </c>
      <c r="BN36" s="35" t="e">
        <f t="shared" si="42"/>
        <v>#VALUE!</v>
      </c>
      <c r="BO36" s="35" t="e">
        <f t="shared" si="54"/>
        <v>#N/A</v>
      </c>
      <c r="BP36" s="35" t="e">
        <f t="shared" si="19"/>
        <v>#N/A</v>
      </c>
      <c r="BQ36" s="47" t="e">
        <f t="shared" si="20"/>
        <v>#VALUE!</v>
      </c>
      <c r="BS36" s="159">
        <f t="shared" si="59"/>
        <v>7</v>
      </c>
      <c r="BT36" s="159">
        <f t="shared" si="59"/>
        <v>8</v>
      </c>
      <c r="BU36" s="166" t="str">
        <f t="shared" si="43"/>
        <v>x</v>
      </c>
      <c r="BV36" s="167" t="str">
        <f t="shared" si="44"/>
        <v/>
      </c>
    </row>
    <row r="37" spans="1:74" ht="36" customHeight="1" x14ac:dyDescent="0.45">
      <c r="A37" s="178">
        <v>21</v>
      </c>
      <c r="B37" s="179"/>
      <c r="C37" s="179"/>
      <c r="D37" s="179"/>
      <c r="E37" s="179"/>
      <c r="F37" s="179"/>
      <c r="H37" s="113" t="str">
        <f t="shared" si="2"/>
        <v/>
      </c>
      <c r="I37" s="113" t="str">
        <f t="shared" si="55"/>
        <v/>
      </c>
      <c r="J37" s="114" t="str">
        <f t="shared" si="21"/>
        <v/>
      </c>
      <c r="K37" s="113" t="str">
        <f t="shared" si="45"/>
        <v/>
      </c>
      <c r="L37" s="163" t="str">
        <f t="shared" si="65"/>
        <v/>
      </c>
      <c r="M37" s="115">
        <f t="shared" si="23"/>
        <v>0</v>
      </c>
      <c r="N37" s="116" t="str">
        <f t="shared" si="24"/>
        <v/>
      </c>
      <c r="O37" s="38"/>
      <c r="P37" s="38">
        <f t="shared" si="25"/>
        <v>0</v>
      </c>
      <c r="Q37" s="38" t="e">
        <f t="shared" si="3"/>
        <v>#VALUE!</v>
      </c>
      <c r="R37" s="38"/>
      <c r="S37" s="38"/>
      <c r="T37" s="38" t="e">
        <f t="shared" si="26"/>
        <v>#N/A</v>
      </c>
      <c r="U37" s="38" t="e">
        <f t="shared" si="4"/>
        <v>#N/A</v>
      </c>
      <c r="V37" s="38"/>
      <c r="W37" s="38" t="e">
        <f t="shared" si="46"/>
        <v>#N/A</v>
      </c>
      <c r="X37" s="38"/>
      <c r="Y37" s="58"/>
      <c r="Z37" s="38"/>
      <c r="AA37" s="58"/>
      <c r="AB37" s="38"/>
      <c r="AC37" s="75">
        <f t="shared" si="27"/>
        <v>0</v>
      </c>
      <c r="AD37" s="117" t="e">
        <f t="shared" si="28"/>
        <v>#N/A</v>
      </c>
      <c r="AE37" s="117" t="e">
        <f t="shared" si="29"/>
        <v>#N/A</v>
      </c>
      <c r="AF37" s="117" t="e">
        <f t="shared" si="30"/>
        <v>#N/A</v>
      </c>
      <c r="AG37" s="118">
        <f t="shared" si="31"/>
        <v>0</v>
      </c>
      <c r="AH37" s="118" t="e">
        <f t="shared" si="32"/>
        <v>#N/A</v>
      </c>
      <c r="AI37" s="118" t="e">
        <f t="shared" si="33"/>
        <v>#N/A</v>
      </c>
      <c r="AJ37" s="164">
        <f t="shared" si="47"/>
        <v>0</v>
      </c>
      <c r="AL37" s="75">
        <f t="shared" si="6"/>
        <v>0</v>
      </c>
      <c r="AM37" s="75">
        <f t="shared" si="48"/>
        <v>0</v>
      </c>
      <c r="AN37" s="75">
        <f t="shared" si="49"/>
        <v>0</v>
      </c>
      <c r="AO37" s="75">
        <f t="shared" si="50"/>
        <v>0</v>
      </c>
      <c r="AP37" s="165">
        <f t="shared" si="34"/>
        <v>0</v>
      </c>
      <c r="AQ37" s="75">
        <f t="shared" si="51"/>
        <v>0</v>
      </c>
      <c r="AR37" s="75">
        <f t="shared" si="52"/>
        <v>0</v>
      </c>
      <c r="AS37" s="75">
        <f t="shared" si="67"/>
        <v>0</v>
      </c>
      <c r="AT37" s="120">
        <f t="shared" si="35"/>
        <v>0</v>
      </c>
      <c r="AU37" s="87" t="e">
        <f t="shared" si="36"/>
        <v>#VALUE!</v>
      </c>
      <c r="AV37" s="75" t="e">
        <f t="shared" si="7"/>
        <v>#VALUE!</v>
      </c>
      <c r="AW37" s="75" t="e">
        <f t="shared" si="8"/>
        <v>#VALUE!</v>
      </c>
      <c r="AX37" s="75" t="e">
        <f t="shared" si="9"/>
        <v>#VALUE!</v>
      </c>
      <c r="AY37" s="75" t="e">
        <f t="shared" si="37"/>
        <v>#VALUE!</v>
      </c>
      <c r="AZ37" s="76">
        <f t="shared" si="38"/>
        <v>0</v>
      </c>
      <c r="BA37" s="35">
        <f t="shared" si="39"/>
        <v>0</v>
      </c>
      <c r="BB37" s="35">
        <f t="shared" si="10"/>
        <v>0</v>
      </c>
      <c r="BC37" s="35">
        <f t="shared" si="11"/>
        <v>0</v>
      </c>
      <c r="BD37" s="35">
        <f t="shared" si="12"/>
        <v>0</v>
      </c>
      <c r="BE37" s="35">
        <f t="shared" si="13"/>
        <v>0</v>
      </c>
      <c r="BF37" s="35">
        <f t="shared" si="14"/>
        <v>0</v>
      </c>
      <c r="BG37" s="35">
        <f t="shared" si="15"/>
        <v>0</v>
      </c>
      <c r="BH37" s="35">
        <f t="shared" si="16"/>
        <v>0</v>
      </c>
      <c r="BI37" s="35">
        <f t="shared" si="17"/>
        <v>0</v>
      </c>
      <c r="BJ37" s="35">
        <f t="shared" si="18"/>
        <v>0</v>
      </c>
      <c r="BK37" s="35">
        <f t="shared" si="40"/>
        <v>0</v>
      </c>
      <c r="BM37" s="35" t="e">
        <f t="shared" si="41"/>
        <v>#VALUE!</v>
      </c>
      <c r="BN37" s="35" t="e">
        <f t="shared" si="42"/>
        <v>#VALUE!</v>
      </c>
      <c r="BO37" s="35" t="e">
        <f t="shared" si="54"/>
        <v>#N/A</v>
      </c>
      <c r="BP37" s="35" t="e">
        <f t="shared" si="19"/>
        <v>#N/A</v>
      </c>
      <c r="BQ37" s="47" t="e">
        <f t="shared" si="20"/>
        <v>#VALUE!</v>
      </c>
      <c r="BS37" s="159">
        <f t="shared" si="59"/>
        <v>7</v>
      </c>
      <c r="BT37" s="159">
        <f t="shared" si="59"/>
        <v>8</v>
      </c>
      <c r="BU37" s="166" t="str">
        <f t="shared" si="43"/>
        <v>x</v>
      </c>
      <c r="BV37" s="167" t="str">
        <f t="shared" ref="BV37" si="70">IF(ISBLANK(INDEX(B$17:B$42,BS37)),BV36,$BV$15)</f>
        <v/>
      </c>
    </row>
    <row r="38" spans="1:74" ht="36" customHeight="1" x14ac:dyDescent="0.45">
      <c r="A38" s="180">
        <v>22</v>
      </c>
      <c r="B38" s="181"/>
      <c r="C38" s="181"/>
      <c r="D38" s="181"/>
      <c r="E38" s="181"/>
      <c r="F38" s="181"/>
      <c r="H38" s="113" t="str">
        <f t="shared" si="2"/>
        <v/>
      </c>
      <c r="I38" s="113" t="str">
        <f t="shared" si="55"/>
        <v/>
      </c>
      <c r="J38" s="114" t="str">
        <f t="shared" si="21"/>
        <v/>
      </c>
      <c r="K38" s="113" t="str">
        <f t="shared" si="45"/>
        <v/>
      </c>
      <c r="L38" s="163" t="str">
        <f t="shared" si="65"/>
        <v/>
      </c>
      <c r="M38" s="115">
        <f t="shared" si="23"/>
        <v>0</v>
      </c>
      <c r="N38" s="116" t="str">
        <f t="shared" si="24"/>
        <v/>
      </c>
      <c r="O38" s="38"/>
      <c r="P38" s="38">
        <f t="shared" si="25"/>
        <v>0</v>
      </c>
      <c r="Q38" s="38" t="e">
        <f t="shared" si="3"/>
        <v>#VALUE!</v>
      </c>
      <c r="R38" s="38"/>
      <c r="S38" s="38"/>
      <c r="T38" s="38" t="e">
        <f t="shared" si="26"/>
        <v>#N/A</v>
      </c>
      <c r="U38" s="38" t="e">
        <f t="shared" si="4"/>
        <v>#N/A</v>
      </c>
      <c r="V38" s="38"/>
      <c r="W38" s="38" t="e">
        <f t="shared" si="46"/>
        <v>#N/A</v>
      </c>
      <c r="X38" s="38"/>
      <c r="Y38" s="58"/>
      <c r="Z38" s="38"/>
      <c r="AA38" s="58"/>
      <c r="AB38" s="38"/>
      <c r="AC38" s="75">
        <f t="shared" si="27"/>
        <v>0</v>
      </c>
      <c r="AD38" s="117" t="e">
        <f t="shared" si="28"/>
        <v>#N/A</v>
      </c>
      <c r="AE38" s="117" t="e">
        <f t="shared" si="29"/>
        <v>#N/A</v>
      </c>
      <c r="AF38" s="117" t="e">
        <f t="shared" si="30"/>
        <v>#N/A</v>
      </c>
      <c r="AG38" s="118">
        <f t="shared" si="31"/>
        <v>0</v>
      </c>
      <c r="AH38" s="118" t="e">
        <f t="shared" si="32"/>
        <v>#N/A</v>
      </c>
      <c r="AI38" s="118" t="e">
        <f t="shared" si="33"/>
        <v>#N/A</v>
      </c>
      <c r="AJ38" s="164">
        <f t="shared" si="47"/>
        <v>0</v>
      </c>
      <c r="AL38" s="75">
        <f t="shared" si="6"/>
        <v>0</v>
      </c>
      <c r="AM38" s="75">
        <f t="shared" si="48"/>
        <v>0</v>
      </c>
      <c r="AN38" s="75">
        <f t="shared" si="49"/>
        <v>0</v>
      </c>
      <c r="AO38" s="75">
        <f t="shared" si="50"/>
        <v>0</v>
      </c>
      <c r="AP38" s="165">
        <f t="shared" si="34"/>
        <v>0</v>
      </c>
      <c r="AQ38" s="75">
        <f t="shared" si="51"/>
        <v>0</v>
      </c>
      <c r="AR38" s="75">
        <f t="shared" si="52"/>
        <v>0</v>
      </c>
      <c r="AS38" s="75">
        <f t="shared" si="67"/>
        <v>0</v>
      </c>
      <c r="AT38" s="120">
        <f t="shared" si="35"/>
        <v>0</v>
      </c>
      <c r="AU38" s="87" t="e">
        <f t="shared" si="36"/>
        <v>#VALUE!</v>
      </c>
      <c r="AV38" s="75" t="e">
        <f t="shared" si="7"/>
        <v>#VALUE!</v>
      </c>
      <c r="AW38" s="75" t="e">
        <f t="shared" si="8"/>
        <v>#VALUE!</v>
      </c>
      <c r="AX38" s="75" t="e">
        <f t="shared" si="9"/>
        <v>#VALUE!</v>
      </c>
      <c r="AY38" s="75" t="e">
        <f t="shared" si="37"/>
        <v>#VALUE!</v>
      </c>
      <c r="AZ38" s="76">
        <f t="shared" si="38"/>
        <v>0</v>
      </c>
      <c r="BA38" s="35">
        <f t="shared" si="39"/>
        <v>0</v>
      </c>
      <c r="BB38" s="35">
        <f t="shared" si="10"/>
        <v>0</v>
      </c>
      <c r="BC38" s="35">
        <f t="shared" si="11"/>
        <v>0</v>
      </c>
      <c r="BD38" s="35">
        <f t="shared" si="12"/>
        <v>0</v>
      </c>
      <c r="BE38" s="35">
        <f t="shared" si="13"/>
        <v>0</v>
      </c>
      <c r="BF38" s="35">
        <f t="shared" si="14"/>
        <v>0</v>
      </c>
      <c r="BG38" s="35">
        <f t="shared" si="15"/>
        <v>0</v>
      </c>
      <c r="BH38" s="35">
        <f t="shared" si="16"/>
        <v>0</v>
      </c>
      <c r="BI38" s="35">
        <f t="shared" si="17"/>
        <v>0</v>
      </c>
      <c r="BJ38" s="35">
        <f t="shared" si="18"/>
        <v>0</v>
      </c>
      <c r="BK38" s="35">
        <f t="shared" si="40"/>
        <v>0</v>
      </c>
      <c r="BM38" s="35" t="e">
        <f t="shared" si="41"/>
        <v>#VALUE!</v>
      </c>
      <c r="BN38" s="35" t="e">
        <f t="shared" si="42"/>
        <v>#VALUE!</v>
      </c>
      <c r="BO38" s="35" t="e">
        <f t="shared" si="54"/>
        <v>#N/A</v>
      </c>
      <c r="BP38" s="35" t="e">
        <f t="shared" si="19"/>
        <v>#N/A</v>
      </c>
      <c r="BQ38" s="47" t="e">
        <f t="shared" si="20"/>
        <v>#VALUE!</v>
      </c>
      <c r="BS38" s="159">
        <f t="shared" si="59"/>
        <v>8</v>
      </c>
      <c r="BT38" s="159">
        <f t="shared" si="59"/>
        <v>7</v>
      </c>
      <c r="BU38" s="166" t="str">
        <f t="shared" si="43"/>
        <v>x</v>
      </c>
      <c r="BV38" s="167" t="str">
        <f t="shared" ref="BV38" si="71">INDEX(N$17:N$42,BS38)</f>
        <v/>
      </c>
    </row>
    <row r="39" spans="1:74" ht="36" customHeight="1" x14ac:dyDescent="0.45">
      <c r="A39" s="178">
        <v>23</v>
      </c>
      <c r="B39" s="179"/>
      <c r="C39" s="179"/>
      <c r="D39" s="179"/>
      <c r="E39" s="179"/>
      <c r="F39" s="179"/>
      <c r="H39" s="113" t="str">
        <f t="shared" si="2"/>
        <v/>
      </c>
      <c r="I39" s="113" t="str">
        <f t="shared" si="55"/>
        <v/>
      </c>
      <c r="J39" s="114" t="str">
        <f t="shared" si="21"/>
        <v/>
      </c>
      <c r="K39" s="113" t="str">
        <f t="shared" si="45"/>
        <v/>
      </c>
      <c r="L39" s="163" t="str">
        <f t="shared" si="65"/>
        <v/>
      </c>
      <c r="M39" s="115">
        <f t="shared" si="23"/>
        <v>0</v>
      </c>
      <c r="N39" s="116" t="str">
        <f t="shared" si="24"/>
        <v/>
      </c>
      <c r="O39" s="38"/>
      <c r="P39" s="38">
        <f t="shared" si="25"/>
        <v>0</v>
      </c>
      <c r="Q39" s="38" t="e">
        <f t="shared" si="3"/>
        <v>#VALUE!</v>
      </c>
      <c r="R39" s="38"/>
      <c r="S39" s="38"/>
      <c r="T39" s="38" t="e">
        <f t="shared" si="26"/>
        <v>#N/A</v>
      </c>
      <c r="U39" s="38" t="e">
        <f t="shared" si="4"/>
        <v>#N/A</v>
      </c>
      <c r="V39" s="38"/>
      <c r="W39" s="38" t="e">
        <f t="shared" si="46"/>
        <v>#N/A</v>
      </c>
      <c r="X39" s="38"/>
      <c r="Y39" s="58"/>
      <c r="Z39" s="38"/>
      <c r="AA39" s="58"/>
      <c r="AB39" s="38"/>
      <c r="AC39" s="75">
        <f t="shared" si="27"/>
        <v>0</v>
      </c>
      <c r="AD39" s="117" t="e">
        <f t="shared" si="28"/>
        <v>#N/A</v>
      </c>
      <c r="AE39" s="117" t="e">
        <f t="shared" si="29"/>
        <v>#N/A</v>
      </c>
      <c r="AF39" s="117" t="e">
        <f t="shared" si="30"/>
        <v>#N/A</v>
      </c>
      <c r="AG39" s="118">
        <f t="shared" si="31"/>
        <v>0</v>
      </c>
      <c r="AH39" s="118" t="e">
        <f t="shared" si="32"/>
        <v>#N/A</v>
      </c>
      <c r="AI39" s="118" t="e">
        <f t="shared" si="33"/>
        <v>#N/A</v>
      </c>
      <c r="AJ39" s="164">
        <f t="shared" si="47"/>
        <v>0</v>
      </c>
      <c r="AL39" s="75">
        <f t="shared" si="6"/>
        <v>0</v>
      </c>
      <c r="AM39" s="75">
        <f t="shared" si="48"/>
        <v>0</v>
      </c>
      <c r="AN39" s="75">
        <f t="shared" si="49"/>
        <v>0</v>
      </c>
      <c r="AO39" s="75">
        <f t="shared" si="50"/>
        <v>0</v>
      </c>
      <c r="AP39" s="165">
        <f t="shared" si="34"/>
        <v>0</v>
      </c>
      <c r="AQ39" s="75">
        <f t="shared" si="51"/>
        <v>0</v>
      </c>
      <c r="AR39" s="75">
        <f t="shared" si="52"/>
        <v>0</v>
      </c>
      <c r="AS39" s="75">
        <f t="shared" si="67"/>
        <v>0</v>
      </c>
      <c r="AT39" s="120">
        <f t="shared" si="35"/>
        <v>0</v>
      </c>
      <c r="AU39" s="87" t="e">
        <f t="shared" si="36"/>
        <v>#VALUE!</v>
      </c>
      <c r="AV39" s="75" t="e">
        <f t="shared" si="7"/>
        <v>#VALUE!</v>
      </c>
      <c r="AW39" s="75" t="e">
        <f t="shared" si="8"/>
        <v>#VALUE!</v>
      </c>
      <c r="AX39" s="75" t="e">
        <f t="shared" si="9"/>
        <v>#VALUE!</v>
      </c>
      <c r="AY39" s="75" t="e">
        <f t="shared" si="37"/>
        <v>#VALUE!</v>
      </c>
      <c r="AZ39" s="76">
        <f t="shared" si="38"/>
        <v>0</v>
      </c>
      <c r="BA39" s="35">
        <f t="shared" si="39"/>
        <v>0</v>
      </c>
      <c r="BB39" s="35">
        <f t="shared" si="10"/>
        <v>0</v>
      </c>
      <c r="BC39" s="35">
        <f t="shared" si="11"/>
        <v>0</v>
      </c>
      <c r="BD39" s="35">
        <f t="shared" si="12"/>
        <v>0</v>
      </c>
      <c r="BE39" s="35">
        <f t="shared" si="13"/>
        <v>0</v>
      </c>
      <c r="BF39" s="35">
        <f t="shared" si="14"/>
        <v>0</v>
      </c>
      <c r="BG39" s="35">
        <f t="shared" si="15"/>
        <v>0</v>
      </c>
      <c r="BH39" s="35">
        <f t="shared" si="16"/>
        <v>0</v>
      </c>
      <c r="BI39" s="35">
        <f t="shared" si="17"/>
        <v>0</v>
      </c>
      <c r="BJ39" s="35">
        <f t="shared" si="18"/>
        <v>0</v>
      </c>
      <c r="BK39" s="35">
        <f t="shared" si="40"/>
        <v>0</v>
      </c>
      <c r="BM39" s="35" t="e">
        <f t="shared" si="41"/>
        <v>#VALUE!</v>
      </c>
      <c r="BN39" s="35" t="e">
        <f t="shared" si="42"/>
        <v>#VALUE!</v>
      </c>
      <c r="BO39" s="35" t="e">
        <f t="shared" si="54"/>
        <v>#N/A</v>
      </c>
      <c r="BP39" s="35" t="e">
        <f t="shared" si="19"/>
        <v>#N/A</v>
      </c>
      <c r="BQ39" s="47" t="e">
        <f t="shared" si="20"/>
        <v>#VALUE!</v>
      </c>
      <c r="BS39" s="159">
        <f t="shared" si="59"/>
        <v>8</v>
      </c>
      <c r="BT39" s="159">
        <f t="shared" si="59"/>
        <v>9</v>
      </c>
      <c r="BU39" s="166" t="str">
        <f t="shared" si="43"/>
        <v>x</v>
      </c>
      <c r="BV39" s="167" t="str">
        <f t="shared" si="44"/>
        <v/>
      </c>
    </row>
    <row r="40" spans="1:74" ht="36" customHeight="1" x14ac:dyDescent="0.45">
      <c r="A40" s="180">
        <v>24</v>
      </c>
      <c r="B40" s="181"/>
      <c r="C40" s="181"/>
      <c r="D40" s="181"/>
      <c r="E40" s="181"/>
      <c r="F40" s="181"/>
      <c r="H40" s="113" t="str">
        <f t="shared" si="2"/>
        <v/>
      </c>
      <c r="I40" s="113" t="str">
        <f t="shared" si="55"/>
        <v/>
      </c>
      <c r="J40" s="114" t="str">
        <f t="shared" si="21"/>
        <v/>
      </c>
      <c r="K40" s="113" t="str">
        <f t="shared" si="45"/>
        <v/>
      </c>
      <c r="L40" s="163" t="str">
        <f t="shared" si="65"/>
        <v/>
      </c>
      <c r="M40" s="115">
        <f t="shared" si="23"/>
        <v>0</v>
      </c>
      <c r="N40" s="116" t="str">
        <f t="shared" si="24"/>
        <v/>
      </c>
      <c r="O40" s="38"/>
      <c r="P40" s="38">
        <f t="shared" si="25"/>
        <v>0</v>
      </c>
      <c r="Q40" s="38" t="e">
        <f t="shared" si="3"/>
        <v>#VALUE!</v>
      </c>
      <c r="R40" s="38"/>
      <c r="S40" s="38"/>
      <c r="T40" s="38" t="e">
        <f t="shared" si="26"/>
        <v>#N/A</v>
      </c>
      <c r="U40" s="38" t="e">
        <f t="shared" si="4"/>
        <v>#N/A</v>
      </c>
      <c r="V40" s="38"/>
      <c r="W40" s="38" t="e">
        <f t="shared" si="46"/>
        <v>#N/A</v>
      </c>
      <c r="X40" s="38"/>
      <c r="Y40" s="58"/>
      <c r="Z40" s="38"/>
      <c r="AA40" s="58"/>
      <c r="AB40" s="38"/>
      <c r="AC40" s="75">
        <f t="shared" si="27"/>
        <v>0</v>
      </c>
      <c r="AD40" s="117" t="e">
        <f t="shared" si="28"/>
        <v>#N/A</v>
      </c>
      <c r="AE40" s="117" t="e">
        <f t="shared" si="29"/>
        <v>#N/A</v>
      </c>
      <c r="AF40" s="117" t="e">
        <f t="shared" si="30"/>
        <v>#N/A</v>
      </c>
      <c r="AG40" s="118">
        <f t="shared" si="31"/>
        <v>0</v>
      </c>
      <c r="AH40" s="118" t="e">
        <f t="shared" si="32"/>
        <v>#N/A</v>
      </c>
      <c r="AI40" s="118" t="e">
        <f t="shared" si="33"/>
        <v>#N/A</v>
      </c>
      <c r="AJ40" s="164">
        <f t="shared" si="47"/>
        <v>0</v>
      </c>
      <c r="AL40" s="75">
        <f t="shared" si="6"/>
        <v>0</v>
      </c>
      <c r="AM40" s="75">
        <f t="shared" si="48"/>
        <v>0</v>
      </c>
      <c r="AN40" s="75">
        <f t="shared" si="49"/>
        <v>0</v>
      </c>
      <c r="AO40" s="75">
        <f t="shared" si="50"/>
        <v>0</v>
      </c>
      <c r="AP40" s="165">
        <f t="shared" si="34"/>
        <v>0</v>
      </c>
      <c r="AQ40" s="75">
        <f t="shared" si="51"/>
        <v>0</v>
      </c>
      <c r="AR40" s="75">
        <f t="shared" si="52"/>
        <v>0</v>
      </c>
      <c r="AS40" s="75">
        <f t="shared" si="53"/>
        <v>0</v>
      </c>
      <c r="AT40" s="120">
        <f t="shared" si="35"/>
        <v>0</v>
      </c>
      <c r="AU40" s="87" t="e">
        <f t="shared" si="36"/>
        <v>#VALUE!</v>
      </c>
      <c r="AV40" s="75" t="e">
        <f t="shared" si="7"/>
        <v>#VALUE!</v>
      </c>
      <c r="AW40" s="75" t="e">
        <f t="shared" si="8"/>
        <v>#VALUE!</v>
      </c>
      <c r="AX40" s="75" t="e">
        <f t="shared" si="9"/>
        <v>#VALUE!</v>
      </c>
      <c r="AY40" s="75" t="e">
        <f t="shared" si="37"/>
        <v>#VALUE!</v>
      </c>
      <c r="AZ40" s="76">
        <f t="shared" si="38"/>
        <v>0</v>
      </c>
      <c r="BA40" s="35">
        <f t="shared" si="39"/>
        <v>0</v>
      </c>
      <c r="BB40" s="35">
        <f t="shared" si="10"/>
        <v>0</v>
      </c>
      <c r="BC40" s="35">
        <f t="shared" si="11"/>
        <v>0</v>
      </c>
      <c r="BD40" s="35">
        <f t="shared" si="12"/>
        <v>0</v>
      </c>
      <c r="BE40" s="35">
        <f t="shared" si="13"/>
        <v>0</v>
      </c>
      <c r="BF40" s="35">
        <f t="shared" si="14"/>
        <v>0</v>
      </c>
      <c r="BG40" s="35">
        <f t="shared" si="15"/>
        <v>0</v>
      </c>
      <c r="BH40" s="35">
        <f t="shared" si="16"/>
        <v>0</v>
      </c>
      <c r="BI40" s="35">
        <f t="shared" si="17"/>
        <v>0</v>
      </c>
      <c r="BJ40" s="35">
        <f t="shared" si="18"/>
        <v>0</v>
      </c>
      <c r="BK40" s="35">
        <f t="shared" si="40"/>
        <v>0</v>
      </c>
      <c r="BM40" s="35" t="e">
        <f t="shared" si="41"/>
        <v>#VALUE!</v>
      </c>
      <c r="BN40" s="35" t="e">
        <f t="shared" si="42"/>
        <v>#VALUE!</v>
      </c>
      <c r="BO40" s="35" t="e">
        <f t="shared" si="54"/>
        <v>#N/A</v>
      </c>
      <c r="BP40" s="35" t="e">
        <f t="shared" si="19"/>
        <v>#N/A</v>
      </c>
      <c r="BQ40" s="47" t="e">
        <f t="shared" si="20"/>
        <v>#VALUE!</v>
      </c>
      <c r="BS40" s="159">
        <f t="shared" si="59"/>
        <v>8</v>
      </c>
      <c r="BT40" s="159">
        <f t="shared" si="59"/>
        <v>9</v>
      </c>
      <c r="BU40" s="166" t="str">
        <f t="shared" si="43"/>
        <v>x</v>
      </c>
      <c r="BV40" s="167" t="str">
        <f t="shared" ref="BV40" si="72">IF(ISBLANK(INDEX(B$17:B$42,BS40)),BV39,$BV$15)</f>
        <v/>
      </c>
    </row>
    <row r="41" spans="1:74" ht="36" customHeight="1" x14ac:dyDescent="0.45">
      <c r="A41" s="178">
        <v>25</v>
      </c>
      <c r="B41" s="179"/>
      <c r="C41" s="179"/>
      <c r="D41" s="179"/>
      <c r="E41" s="179"/>
      <c r="F41" s="179"/>
      <c r="H41" s="113" t="str">
        <f t="shared" si="2"/>
        <v/>
      </c>
      <c r="I41" s="113" t="str">
        <f t="shared" si="55"/>
        <v/>
      </c>
      <c r="J41" s="114" t="str">
        <f t="shared" si="21"/>
        <v/>
      </c>
      <c r="K41" s="113" t="str">
        <f t="shared" si="45"/>
        <v/>
      </c>
      <c r="L41" s="163" t="str">
        <f t="shared" si="65"/>
        <v/>
      </c>
      <c r="M41" s="115">
        <f t="shared" si="23"/>
        <v>0</v>
      </c>
      <c r="N41" s="116" t="str">
        <f t="shared" si="24"/>
        <v/>
      </c>
      <c r="O41" s="38"/>
      <c r="P41" s="38">
        <f t="shared" si="25"/>
        <v>0</v>
      </c>
      <c r="Q41" s="38" t="e">
        <f t="shared" si="3"/>
        <v>#VALUE!</v>
      </c>
      <c r="R41" s="38"/>
      <c r="S41" s="38"/>
      <c r="T41" s="38" t="e">
        <f t="shared" si="26"/>
        <v>#N/A</v>
      </c>
      <c r="U41" s="38" t="e">
        <f t="shared" si="4"/>
        <v>#N/A</v>
      </c>
      <c r="V41" s="38"/>
      <c r="W41" s="38" t="e">
        <f t="shared" si="46"/>
        <v>#N/A</v>
      </c>
      <c r="X41" s="38"/>
      <c r="Y41" s="58"/>
      <c r="Z41" s="38"/>
      <c r="AA41" s="58"/>
      <c r="AB41" s="38"/>
      <c r="AC41" s="75">
        <f t="shared" si="27"/>
        <v>0</v>
      </c>
      <c r="AD41" s="117" t="e">
        <f t="shared" si="28"/>
        <v>#N/A</v>
      </c>
      <c r="AE41" s="117" t="e">
        <f t="shared" si="29"/>
        <v>#N/A</v>
      </c>
      <c r="AF41" s="117" t="e">
        <f t="shared" si="30"/>
        <v>#N/A</v>
      </c>
      <c r="AG41" s="118">
        <f t="shared" si="31"/>
        <v>0</v>
      </c>
      <c r="AH41" s="118" t="e">
        <f t="shared" si="32"/>
        <v>#N/A</v>
      </c>
      <c r="AI41" s="118" t="e">
        <f t="shared" si="33"/>
        <v>#N/A</v>
      </c>
      <c r="AJ41" s="164">
        <f t="shared" si="47"/>
        <v>0</v>
      </c>
      <c r="AL41" s="75">
        <f t="shared" si="6"/>
        <v>0</v>
      </c>
      <c r="AM41" s="75">
        <f t="shared" si="48"/>
        <v>0</v>
      </c>
      <c r="AN41" s="75">
        <f t="shared" si="49"/>
        <v>0</v>
      </c>
      <c r="AO41" s="75">
        <f t="shared" si="50"/>
        <v>0</v>
      </c>
      <c r="AP41" s="165">
        <f t="shared" si="34"/>
        <v>0</v>
      </c>
      <c r="AQ41" s="75">
        <f t="shared" si="51"/>
        <v>0</v>
      </c>
      <c r="AR41" s="75">
        <f t="shared" si="52"/>
        <v>0</v>
      </c>
      <c r="AS41" s="75">
        <f t="shared" si="53"/>
        <v>0</v>
      </c>
      <c r="AT41" s="120">
        <f t="shared" si="35"/>
        <v>0</v>
      </c>
      <c r="AU41" s="87" t="e">
        <f t="shared" si="36"/>
        <v>#VALUE!</v>
      </c>
      <c r="AV41" s="75" t="e">
        <f t="shared" si="7"/>
        <v>#VALUE!</v>
      </c>
      <c r="AW41" s="75" t="e">
        <f t="shared" si="8"/>
        <v>#VALUE!</v>
      </c>
      <c r="AX41" s="75" t="e">
        <f t="shared" si="9"/>
        <v>#VALUE!</v>
      </c>
      <c r="AY41" s="75" t="e">
        <f t="shared" si="37"/>
        <v>#VALUE!</v>
      </c>
      <c r="AZ41" s="76">
        <f t="shared" si="38"/>
        <v>0</v>
      </c>
      <c r="BA41" s="35">
        <f t="shared" si="39"/>
        <v>0</v>
      </c>
      <c r="BB41" s="35">
        <f t="shared" si="10"/>
        <v>0</v>
      </c>
      <c r="BC41" s="35">
        <f t="shared" si="11"/>
        <v>0</v>
      </c>
      <c r="BD41" s="35">
        <f t="shared" si="12"/>
        <v>0</v>
      </c>
      <c r="BE41" s="35">
        <f t="shared" si="13"/>
        <v>0</v>
      </c>
      <c r="BF41" s="35">
        <f t="shared" si="14"/>
        <v>0</v>
      </c>
      <c r="BG41" s="35">
        <f t="shared" si="15"/>
        <v>0</v>
      </c>
      <c r="BH41" s="35">
        <f t="shared" si="16"/>
        <v>0</v>
      </c>
      <c r="BI41" s="35">
        <f t="shared" si="17"/>
        <v>0</v>
      </c>
      <c r="BJ41" s="35">
        <f t="shared" si="18"/>
        <v>0</v>
      </c>
      <c r="BK41" s="35">
        <f t="shared" si="40"/>
        <v>0</v>
      </c>
      <c r="BM41" s="35" t="e">
        <f t="shared" si="41"/>
        <v>#VALUE!</v>
      </c>
      <c r="BN41" s="35" t="e">
        <f t="shared" si="42"/>
        <v>#VALUE!</v>
      </c>
      <c r="BO41" s="35" t="e">
        <f t="shared" si="54"/>
        <v>#N/A</v>
      </c>
      <c r="BP41" s="35" t="e">
        <f t="shared" si="19"/>
        <v>#N/A</v>
      </c>
      <c r="BQ41" s="47" t="e">
        <f t="shared" si="20"/>
        <v>#VALUE!</v>
      </c>
      <c r="BS41" s="159">
        <f t="shared" ref="BS41:BT56" si="73">BS38+1</f>
        <v>9</v>
      </c>
      <c r="BT41" s="159">
        <f t="shared" si="73"/>
        <v>8</v>
      </c>
      <c r="BU41" s="166" t="str">
        <f t="shared" si="43"/>
        <v>x</v>
      </c>
      <c r="BV41" s="167" t="str">
        <f t="shared" ref="BV41" si="74">INDEX(N$17:N$42,BS41)</f>
        <v/>
      </c>
    </row>
    <row r="42" spans="1:74" ht="36" customHeight="1" x14ac:dyDescent="0.45">
      <c r="A42" s="180">
        <v>26</v>
      </c>
      <c r="B42" s="181"/>
      <c r="C42" s="181"/>
      <c r="D42" s="181"/>
      <c r="E42" s="181"/>
      <c r="F42" s="181"/>
      <c r="H42" s="113" t="str">
        <f t="shared" si="2"/>
        <v/>
      </c>
      <c r="I42" s="113" t="str">
        <f t="shared" si="55"/>
        <v/>
      </c>
      <c r="J42" s="114" t="str">
        <f t="shared" si="21"/>
        <v/>
      </c>
      <c r="K42" s="113" t="str">
        <f t="shared" si="45"/>
        <v/>
      </c>
      <c r="L42" s="163" t="str">
        <f t="shared" si="65"/>
        <v/>
      </c>
      <c r="M42" s="115">
        <f t="shared" si="23"/>
        <v>0</v>
      </c>
      <c r="N42" s="116" t="str">
        <f t="shared" si="24"/>
        <v/>
      </c>
      <c r="O42" s="38"/>
      <c r="P42" s="38">
        <f>B18</f>
        <v>0</v>
      </c>
      <c r="Q42" s="38" t="e">
        <f t="shared" si="3"/>
        <v>#VALUE!</v>
      </c>
      <c r="R42" s="38"/>
      <c r="S42" s="38"/>
      <c r="T42" s="38" t="e">
        <f>LOOKUP(2,1/(D17:D42&lt;&gt;""),B17:B42)</f>
        <v>#N/A</v>
      </c>
      <c r="U42" s="38" t="e">
        <f t="shared" si="4"/>
        <v>#N/A</v>
      </c>
      <c r="V42" s="38"/>
      <c r="W42" s="38" t="e">
        <f t="shared" si="46"/>
        <v>#N/A</v>
      </c>
      <c r="X42" s="38"/>
      <c r="Y42" s="58"/>
      <c r="Z42" s="38"/>
      <c r="AA42" s="58"/>
      <c r="AB42" s="38"/>
      <c r="AC42" s="75">
        <f t="shared" si="27"/>
        <v>0</v>
      </c>
      <c r="AD42" s="117" t="e">
        <f t="shared" si="28"/>
        <v>#N/A</v>
      </c>
      <c r="AE42" s="117" t="e">
        <f t="shared" si="29"/>
        <v>#N/A</v>
      </c>
      <c r="AF42" s="117" t="e">
        <f t="shared" si="30"/>
        <v>#N/A</v>
      </c>
      <c r="AG42" s="118">
        <f t="shared" si="31"/>
        <v>0</v>
      </c>
      <c r="AH42" s="118" t="e">
        <f t="shared" si="32"/>
        <v>#N/A</v>
      </c>
      <c r="AI42" s="118" t="e">
        <f t="shared" si="33"/>
        <v>#N/A</v>
      </c>
      <c r="AJ42" s="164">
        <f t="shared" si="47"/>
        <v>0</v>
      </c>
      <c r="AL42" s="75">
        <f t="shared" si="6"/>
        <v>0</v>
      </c>
      <c r="AM42" s="75">
        <f t="shared" si="48"/>
        <v>0</v>
      </c>
      <c r="AN42" s="75">
        <f t="shared" si="49"/>
        <v>0</v>
      </c>
      <c r="AO42" s="75">
        <f t="shared" si="50"/>
        <v>0</v>
      </c>
      <c r="AP42" s="165">
        <f t="shared" si="34"/>
        <v>0</v>
      </c>
      <c r="AQ42" s="75">
        <f t="shared" si="51"/>
        <v>0</v>
      </c>
      <c r="AR42" s="75">
        <f t="shared" si="52"/>
        <v>0</v>
      </c>
      <c r="AS42" s="75">
        <f t="shared" si="53"/>
        <v>0</v>
      </c>
      <c r="AT42" s="120">
        <f t="shared" si="35"/>
        <v>0</v>
      </c>
      <c r="AU42" s="87" t="e">
        <f t="shared" si="36"/>
        <v>#VALUE!</v>
      </c>
      <c r="AV42" s="75" t="e">
        <f t="shared" si="7"/>
        <v>#VALUE!</v>
      </c>
      <c r="AW42" s="75" t="e">
        <f t="shared" si="8"/>
        <v>#VALUE!</v>
      </c>
      <c r="AX42" s="75" t="e">
        <f t="shared" si="9"/>
        <v>#VALUE!</v>
      </c>
      <c r="AY42" s="75" t="e">
        <f t="shared" si="37"/>
        <v>#VALUE!</v>
      </c>
      <c r="AZ42" s="76">
        <f t="shared" si="38"/>
        <v>0</v>
      </c>
      <c r="BA42" s="35">
        <f t="shared" si="39"/>
        <v>0</v>
      </c>
      <c r="BB42" s="35">
        <f t="shared" si="10"/>
        <v>0</v>
      </c>
      <c r="BC42" s="35">
        <f t="shared" si="11"/>
        <v>0</v>
      </c>
      <c r="BD42" s="35">
        <f t="shared" si="12"/>
        <v>0</v>
      </c>
      <c r="BE42" s="35">
        <f t="shared" si="13"/>
        <v>0</v>
      </c>
      <c r="BF42" s="35">
        <f t="shared" si="14"/>
        <v>0</v>
      </c>
      <c r="BG42" s="35">
        <f t="shared" si="15"/>
        <v>0</v>
      </c>
      <c r="BH42" s="35">
        <f t="shared" si="16"/>
        <v>0</v>
      </c>
      <c r="BI42" s="35">
        <f t="shared" si="17"/>
        <v>0</v>
      </c>
      <c r="BJ42" s="35">
        <f t="shared" si="18"/>
        <v>0</v>
      </c>
      <c r="BK42" s="35">
        <f t="shared" si="40"/>
        <v>0</v>
      </c>
      <c r="BM42" s="35" t="e">
        <f t="shared" si="41"/>
        <v>#VALUE!</v>
      </c>
      <c r="BN42" s="35" t="e">
        <f t="shared" si="42"/>
        <v>#VALUE!</v>
      </c>
      <c r="BO42" s="35" t="e">
        <f t="shared" si="54"/>
        <v>#N/A</v>
      </c>
      <c r="BP42" s="35" t="e">
        <f t="shared" si="19"/>
        <v>#N/A</v>
      </c>
      <c r="BQ42" s="47" t="e">
        <f t="shared" si="20"/>
        <v>#VALUE!</v>
      </c>
      <c r="BS42" s="159">
        <f t="shared" si="73"/>
        <v>9</v>
      </c>
      <c r="BT42" s="159">
        <f t="shared" si="73"/>
        <v>10</v>
      </c>
      <c r="BU42" s="166" t="str">
        <f t="shared" si="43"/>
        <v>x</v>
      </c>
      <c r="BV42" s="167" t="str">
        <f t="shared" si="44"/>
        <v/>
      </c>
    </row>
    <row r="43" spans="1:74" x14ac:dyDescent="0.35">
      <c r="BS43" s="159">
        <f t="shared" si="73"/>
        <v>9</v>
      </c>
      <c r="BT43" s="159">
        <f t="shared" si="73"/>
        <v>10</v>
      </c>
      <c r="BU43" s="166" t="str">
        <f t="shared" si="43"/>
        <v>x</v>
      </c>
      <c r="BV43" s="167" t="str">
        <f t="shared" ref="BV43" si="75">IF(ISBLANK(INDEX(B$17:B$42,BS43)),BV42,$BV$15)</f>
        <v/>
      </c>
    </row>
    <row r="44" spans="1:74" x14ac:dyDescent="0.35">
      <c r="BS44" s="159">
        <f t="shared" si="73"/>
        <v>10</v>
      </c>
      <c r="BT44" s="159">
        <f t="shared" si="73"/>
        <v>9</v>
      </c>
      <c r="BU44" s="166" t="str">
        <f t="shared" si="43"/>
        <v>x</v>
      </c>
      <c r="BV44" s="167" t="str">
        <f t="shared" ref="BV44" si="76">INDEX(N$17:N$42,BS44)</f>
        <v/>
      </c>
    </row>
    <row r="45" spans="1:74" x14ac:dyDescent="0.35">
      <c r="BS45" s="159">
        <f t="shared" si="73"/>
        <v>10</v>
      </c>
      <c r="BT45" s="159">
        <f t="shared" si="73"/>
        <v>11</v>
      </c>
      <c r="BU45" s="166" t="str">
        <f t="shared" si="43"/>
        <v>x</v>
      </c>
      <c r="BV45" s="167" t="str">
        <f t="shared" si="44"/>
        <v/>
      </c>
    </row>
    <row r="46" spans="1:74" x14ac:dyDescent="0.35">
      <c r="BS46" s="159">
        <f t="shared" si="73"/>
        <v>10</v>
      </c>
      <c r="BT46" s="159">
        <f t="shared" si="73"/>
        <v>11</v>
      </c>
      <c r="BU46" s="166" t="str">
        <f t="shared" si="43"/>
        <v>x</v>
      </c>
      <c r="BV46" s="167" t="str">
        <f t="shared" ref="BV46" si="77">IF(ISBLANK(INDEX(B$17:B$42,BS46)),BV45,$BV$15)</f>
        <v/>
      </c>
    </row>
    <row r="47" spans="1:74" x14ac:dyDescent="0.35">
      <c r="BS47" s="159">
        <f t="shared" si="73"/>
        <v>11</v>
      </c>
      <c r="BT47" s="159">
        <f t="shared" si="73"/>
        <v>10</v>
      </c>
      <c r="BU47" s="166" t="str">
        <f t="shared" si="43"/>
        <v>x</v>
      </c>
      <c r="BV47" s="167" t="str">
        <f t="shared" ref="BV47" si="78">INDEX(N$17:N$42,BS47)</f>
        <v/>
      </c>
    </row>
    <row r="48" spans="1:74" x14ac:dyDescent="0.35">
      <c r="BS48" s="159">
        <f t="shared" si="73"/>
        <v>11</v>
      </c>
      <c r="BT48" s="159">
        <f t="shared" si="73"/>
        <v>12</v>
      </c>
      <c r="BU48" s="166" t="str">
        <f t="shared" si="43"/>
        <v>x</v>
      </c>
      <c r="BV48" s="167" t="str">
        <f t="shared" si="44"/>
        <v/>
      </c>
    </row>
    <row r="49" spans="71:74" x14ac:dyDescent="0.35">
      <c r="BS49" s="159">
        <f t="shared" si="73"/>
        <v>11</v>
      </c>
      <c r="BT49" s="159">
        <f t="shared" si="73"/>
        <v>12</v>
      </c>
      <c r="BU49" s="166" t="str">
        <f t="shared" si="43"/>
        <v>x</v>
      </c>
      <c r="BV49" s="167" t="str">
        <f t="shared" ref="BV49" si="79">IF(ISBLANK(INDEX(B$17:B$42,BS49)),BV48,$BV$15)</f>
        <v/>
      </c>
    </row>
    <row r="50" spans="71:74" x14ac:dyDescent="0.35">
      <c r="BS50" s="159">
        <f t="shared" si="73"/>
        <v>12</v>
      </c>
      <c r="BT50" s="159">
        <f t="shared" si="73"/>
        <v>11</v>
      </c>
      <c r="BU50" s="166" t="str">
        <f t="shared" si="43"/>
        <v>x</v>
      </c>
      <c r="BV50" s="167" t="str">
        <f t="shared" ref="BV50" si="80">INDEX(N$17:N$42,BS50)</f>
        <v/>
      </c>
    </row>
    <row r="51" spans="71:74" x14ac:dyDescent="0.35">
      <c r="BS51" s="159">
        <f t="shared" si="73"/>
        <v>12</v>
      </c>
      <c r="BT51" s="159">
        <f t="shared" si="73"/>
        <v>13</v>
      </c>
      <c r="BU51" s="166" t="str">
        <f t="shared" si="43"/>
        <v>x</v>
      </c>
      <c r="BV51" s="167" t="str">
        <f t="shared" si="44"/>
        <v/>
      </c>
    </row>
    <row r="52" spans="71:74" x14ac:dyDescent="0.35">
      <c r="BS52" s="159">
        <f t="shared" si="73"/>
        <v>12</v>
      </c>
      <c r="BT52" s="159">
        <f t="shared" si="73"/>
        <v>13</v>
      </c>
      <c r="BU52" s="166" t="str">
        <f t="shared" si="43"/>
        <v>x</v>
      </c>
      <c r="BV52" s="167" t="str">
        <f t="shared" ref="BV52" si="81">IF(ISBLANK(INDEX(B$17:B$42,BS52)),BV51,$BV$15)</f>
        <v/>
      </c>
    </row>
    <row r="53" spans="71:74" x14ac:dyDescent="0.35">
      <c r="BS53" s="159">
        <f t="shared" si="73"/>
        <v>13</v>
      </c>
      <c r="BT53" s="159">
        <f t="shared" si="73"/>
        <v>12</v>
      </c>
      <c r="BU53" s="166" t="str">
        <f t="shared" si="43"/>
        <v>x</v>
      </c>
      <c r="BV53" s="167" t="str">
        <f t="shared" ref="BV53" si="82">INDEX(N$17:N$42,BS53)</f>
        <v/>
      </c>
    </row>
    <row r="54" spans="71:74" x14ac:dyDescent="0.35">
      <c r="BS54" s="159">
        <f t="shared" si="73"/>
        <v>13</v>
      </c>
      <c r="BT54" s="159">
        <f t="shared" si="73"/>
        <v>14</v>
      </c>
      <c r="BU54" s="166" t="str">
        <f t="shared" si="43"/>
        <v>x</v>
      </c>
      <c r="BV54" s="167" t="str">
        <f t="shared" si="44"/>
        <v/>
      </c>
    </row>
    <row r="55" spans="71:74" x14ac:dyDescent="0.35">
      <c r="BS55" s="159">
        <f t="shared" si="73"/>
        <v>13</v>
      </c>
      <c r="BT55" s="159">
        <f t="shared" si="73"/>
        <v>14</v>
      </c>
      <c r="BU55" s="166" t="str">
        <f t="shared" si="43"/>
        <v>x</v>
      </c>
      <c r="BV55" s="167" t="str">
        <f t="shared" ref="BV55" si="83">IF(ISBLANK(INDEX(B$17:B$42,BS55)),BV54,$BV$15)</f>
        <v/>
      </c>
    </row>
    <row r="56" spans="71:74" x14ac:dyDescent="0.35">
      <c r="BS56" s="159">
        <f t="shared" si="73"/>
        <v>14</v>
      </c>
      <c r="BT56" s="159">
        <f t="shared" si="73"/>
        <v>13</v>
      </c>
      <c r="BU56" s="166" t="str">
        <f t="shared" si="43"/>
        <v>x</v>
      </c>
      <c r="BV56" s="167" t="str">
        <f t="shared" ref="BV56" si="84">INDEX(N$17:N$42,BS56)</f>
        <v/>
      </c>
    </row>
    <row r="57" spans="71:74" x14ac:dyDescent="0.35">
      <c r="BS57" s="159">
        <f t="shared" ref="BS57:BT72" si="85">BS54+1</f>
        <v>14</v>
      </c>
      <c r="BT57" s="159">
        <f t="shared" si="85"/>
        <v>15</v>
      </c>
      <c r="BU57" s="166" t="str">
        <f t="shared" si="43"/>
        <v>x</v>
      </c>
      <c r="BV57" s="167" t="str">
        <f t="shared" si="44"/>
        <v/>
      </c>
    </row>
    <row r="58" spans="71:74" x14ac:dyDescent="0.35">
      <c r="BS58" s="159">
        <f t="shared" si="85"/>
        <v>14</v>
      </c>
      <c r="BT58" s="159">
        <f t="shared" si="85"/>
        <v>15</v>
      </c>
      <c r="BU58" s="166" t="str">
        <f t="shared" si="43"/>
        <v>x</v>
      </c>
      <c r="BV58" s="167" t="str">
        <f t="shared" ref="BV58" si="86">IF(ISBLANK(INDEX(B$17:B$42,BS58)),BV57,$BV$15)</f>
        <v/>
      </c>
    </row>
    <row r="59" spans="71:74" x14ac:dyDescent="0.35">
      <c r="BS59" s="159">
        <f t="shared" si="85"/>
        <v>15</v>
      </c>
      <c r="BT59" s="159">
        <f t="shared" si="85"/>
        <v>14</v>
      </c>
      <c r="BU59" s="166" t="str">
        <f t="shared" si="43"/>
        <v>x</v>
      </c>
      <c r="BV59" s="167" t="str">
        <f t="shared" ref="BV59" si="87">INDEX(N$17:N$42,BS59)</f>
        <v/>
      </c>
    </row>
    <row r="60" spans="71:74" x14ac:dyDescent="0.35">
      <c r="BS60" s="159">
        <f t="shared" si="85"/>
        <v>15</v>
      </c>
      <c r="BT60" s="159">
        <f t="shared" si="85"/>
        <v>16</v>
      </c>
      <c r="BU60" s="166" t="str">
        <f t="shared" si="43"/>
        <v>x</v>
      </c>
      <c r="BV60" s="167" t="str">
        <f t="shared" si="44"/>
        <v/>
      </c>
    </row>
    <row r="61" spans="71:74" x14ac:dyDescent="0.35">
      <c r="BS61" s="159">
        <f t="shared" si="85"/>
        <v>15</v>
      </c>
      <c r="BT61" s="159">
        <f t="shared" si="85"/>
        <v>16</v>
      </c>
      <c r="BU61" s="166" t="str">
        <f t="shared" si="43"/>
        <v>x</v>
      </c>
      <c r="BV61" s="167" t="str">
        <f t="shared" ref="BV61" si="88">IF(ISBLANK(INDEX(B$17:B$42,BS61)),BV60,$BV$15)</f>
        <v/>
      </c>
    </row>
    <row r="62" spans="71:74" x14ac:dyDescent="0.35">
      <c r="BS62" s="159">
        <f t="shared" si="85"/>
        <v>16</v>
      </c>
      <c r="BT62" s="159">
        <f t="shared" si="85"/>
        <v>15</v>
      </c>
      <c r="BU62" s="166" t="str">
        <f t="shared" si="43"/>
        <v>x</v>
      </c>
      <c r="BV62" s="167" t="str">
        <f>INDEX(N$17:N$42,BS62)</f>
        <v/>
      </c>
    </row>
    <row r="63" spans="71:74" x14ac:dyDescent="0.35">
      <c r="BS63" s="159">
        <f t="shared" si="85"/>
        <v>16</v>
      </c>
      <c r="BT63" s="159">
        <f t="shared" si="85"/>
        <v>17</v>
      </c>
      <c r="BU63" s="166" t="str">
        <f t="shared" si="43"/>
        <v>x</v>
      </c>
      <c r="BV63" s="167" t="str">
        <f t="shared" si="44"/>
        <v/>
      </c>
    </row>
    <row r="64" spans="71:74" x14ac:dyDescent="0.35">
      <c r="BS64" s="159">
        <f t="shared" si="85"/>
        <v>16</v>
      </c>
      <c r="BT64" s="159">
        <f t="shared" si="85"/>
        <v>17</v>
      </c>
      <c r="BU64" s="166" t="str">
        <f t="shared" si="43"/>
        <v>x</v>
      </c>
      <c r="BV64" s="167" t="str">
        <f>IF(ISBLANK(INDEX(B$17:B$42,BS64)),BV63,$BV$15)</f>
        <v/>
      </c>
    </row>
    <row r="65" spans="71:74" x14ac:dyDescent="0.35">
      <c r="BS65" s="159">
        <f t="shared" si="85"/>
        <v>17</v>
      </c>
      <c r="BT65" s="159">
        <f t="shared" si="85"/>
        <v>16</v>
      </c>
      <c r="BU65" s="166" t="str">
        <f t="shared" si="43"/>
        <v>x</v>
      </c>
      <c r="BV65" s="167" t="str">
        <f t="shared" ref="BV65" si="89">INDEX(N$17:N$42,BS65)</f>
        <v/>
      </c>
    </row>
    <row r="66" spans="71:74" x14ac:dyDescent="0.35">
      <c r="BS66" s="159">
        <f t="shared" si="85"/>
        <v>17</v>
      </c>
      <c r="BT66" s="159">
        <f t="shared" si="85"/>
        <v>18</v>
      </c>
      <c r="BU66" s="166" t="str">
        <f t="shared" si="43"/>
        <v>x</v>
      </c>
      <c r="BV66" s="167" t="str">
        <f t="shared" si="44"/>
        <v/>
      </c>
    </row>
    <row r="67" spans="71:74" x14ac:dyDescent="0.35">
      <c r="BS67" s="159">
        <f t="shared" si="85"/>
        <v>17</v>
      </c>
      <c r="BT67" s="159">
        <f t="shared" si="85"/>
        <v>18</v>
      </c>
      <c r="BU67" s="166" t="str">
        <f t="shared" si="43"/>
        <v>x</v>
      </c>
      <c r="BV67" s="167" t="str">
        <f t="shared" ref="BV67" si="90">IF(ISBLANK(INDEX(B$17:B$42,BS67)),BV66,$BV$15)</f>
        <v/>
      </c>
    </row>
    <row r="68" spans="71:74" x14ac:dyDescent="0.35">
      <c r="BS68" s="159">
        <f t="shared" si="85"/>
        <v>18</v>
      </c>
      <c r="BT68" s="159">
        <f t="shared" si="85"/>
        <v>17</v>
      </c>
      <c r="BU68" s="166" t="str">
        <f t="shared" si="43"/>
        <v>x</v>
      </c>
      <c r="BV68" s="167" t="str">
        <f t="shared" ref="BV68" si="91">INDEX(N$17:N$42,BS68)</f>
        <v/>
      </c>
    </row>
    <row r="69" spans="71:74" x14ac:dyDescent="0.35">
      <c r="BS69" s="159">
        <f t="shared" si="85"/>
        <v>18</v>
      </c>
      <c r="BT69" s="159">
        <f t="shared" si="85"/>
        <v>19</v>
      </c>
      <c r="BU69" s="166" t="str">
        <f t="shared" si="43"/>
        <v>x</v>
      </c>
      <c r="BV69" s="167" t="str">
        <f t="shared" si="44"/>
        <v/>
      </c>
    </row>
    <row r="70" spans="71:74" x14ac:dyDescent="0.35">
      <c r="BS70" s="159">
        <f t="shared" si="85"/>
        <v>18</v>
      </c>
      <c r="BT70" s="159">
        <f t="shared" si="85"/>
        <v>19</v>
      </c>
      <c r="BU70" s="166" t="str">
        <f t="shared" si="43"/>
        <v>x</v>
      </c>
      <c r="BV70" s="167" t="str">
        <f t="shared" ref="BV70" si="92">IF(ISBLANK(INDEX(B$17:B$42,BS70)),BV69,$BV$15)</f>
        <v/>
      </c>
    </row>
    <row r="71" spans="71:74" x14ac:dyDescent="0.35">
      <c r="BS71" s="159">
        <f t="shared" si="85"/>
        <v>19</v>
      </c>
      <c r="BT71" s="159">
        <f t="shared" si="85"/>
        <v>18</v>
      </c>
      <c r="BU71" s="166" t="str">
        <f t="shared" si="43"/>
        <v>x</v>
      </c>
      <c r="BV71" s="167" t="str">
        <f t="shared" ref="BV71" si="93">INDEX(N$17:N$42,BS71)</f>
        <v/>
      </c>
    </row>
    <row r="72" spans="71:74" x14ac:dyDescent="0.35">
      <c r="BS72" s="159">
        <f t="shared" si="85"/>
        <v>19</v>
      </c>
      <c r="BT72" s="159">
        <f t="shared" si="85"/>
        <v>20</v>
      </c>
      <c r="BU72" s="166" t="str">
        <f t="shared" si="43"/>
        <v>x</v>
      </c>
      <c r="BV72" s="167" t="str">
        <f t="shared" si="44"/>
        <v/>
      </c>
    </row>
    <row r="73" spans="71:74" x14ac:dyDescent="0.35">
      <c r="BS73" s="159">
        <f t="shared" ref="BS73:BT88" si="94">BS70+1</f>
        <v>19</v>
      </c>
      <c r="BT73" s="159">
        <f t="shared" si="94"/>
        <v>20</v>
      </c>
      <c r="BU73" s="166" t="str">
        <f t="shared" si="43"/>
        <v>x</v>
      </c>
      <c r="BV73" s="167" t="str">
        <f t="shared" ref="BV73" si="95">IF(ISBLANK(INDEX(B$17:B$42,BS73)),BV72,$BV$15)</f>
        <v/>
      </c>
    </row>
    <row r="74" spans="71:74" x14ac:dyDescent="0.35">
      <c r="BS74" s="159">
        <f t="shared" si="94"/>
        <v>20</v>
      </c>
      <c r="BT74" s="159">
        <f t="shared" si="94"/>
        <v>19</v>
      </c>
      <c r="BU74" s="166" t="str">
        <f t="shared" si="43"/>
        <v>x</v>
      </c>
      <c r="BV74" s="167" t="str">
        <f t="shared" ref="BV74" si="96">INDEX(N$17:N$42,BS74)</f>
        <v/>
      </c>
    </row>
    <row r="75" spans="71:74" x14ac:dyDescent="0.35">
      <c r="BS75" s="159">
        <f t="shared" si="94"/>
        <v>20</v>
      </c>
      <c r="BT75" s="159">
        <f t="shared" si="94"/>
        <v>21</v>
      </c>
      <c r="BU75" s="166" t="str">
        <f t="shared" si="43"/>
        <v>x</v>
      </c>
      <c r="BV75" s="167" t="str">
        <f t="shared" si="44"/>
        <v/>
      </c>
    </row>
    <row r="76" spans="71:74" x14ac:dyDescent="0.35">
      <c r="BS76" s="159">
        <f t="shared" si="94"/>
        <v>20</v>
      </c>
      <c r="BT76" s="159">
        <f t="shared" si="94"/>
        <v>21</v>
      </c>
      <c r="BU76" s="166" t="str">
        <f t="shared" si="43"/>
        <v>x</v>
      </c>
      <c r="BV76" s="167" t="str">
        <f t="shared" ref="BV76" si="97">IF(ISBLANK(INDEX(B$17:B$42,BS76)),BV75,$BV$15)</f>
        <v/>
      </c>
    </row>
    <row r="77" spans="71:74" x14ac:dyDescent="0.35">
      <c r="BS77" s="159">
        <f t="shared" si="94"/>
        <v>21</v>
      </c>
      <c r="BT77" s="159">
        <f t="shared" si="94"/>
        <v>20</v>
      </c>
      <c r="BU77" s="166" t="str">
        <f t="shared" si="43"/>
        <v>x</v>
      </c>
      <c r="BV77" s="167" t="str">
        <f t="shared" ref="BV77" si="98">INDEX(N$17:N$42,BS77)</f>
        <v/>
      </c>
    </row>
    <row r="78" spans="71:74" x14ac:dyDescent="0.35">
      <c r="BS78" s="159">
        <f t="shared" si="94"/>
        <v>21</v>
      </c>
      <c r="BT78" s="159">
        <f t="shared" si="94"/>
        <v>22</v>
      </c>
      <c r="BU78" s="166" t="str">
        <f t="shared" si="43"/>
        <v>x</v>
      </c>
      <c r="BV78" s="167" t="str">
        <f t="shared" si="44"/>
        <v/>
      </c>
    </row>
    <row r="79" spans="71:74" x14ac:dyDescent="0.35">
      <c r="BS79" s="159">
        <f t="shared" si="94"/>
        <v>21</v>
      </c>
      <c r="BT79" s="159">
        <f t="shared" si="94"/>
        <v>22</v>
      </c>
      <c r="BU79" s="166" t="str">
        <f t="shared" si="43"/>
        <v>x</v>
      </c>
      <c r="BV79" s="167" t="str">
        <f t="shared" ref="BV79" si="99">IF(ISBLANK(INDEX(B$17:B$42,BS79)),BV78,$BV$15)</f>
        <v/>
      </c>
    </row>
    <row r="80" spans="71:74" x14ac:dyDescent="0.35">
      <c r="BS80" s="159">
        <f t="shared" si="94"/>
        <v>22</v>
      </c>
      <c r="BT80" s="159">
        <f t="shared" si="94"/>
        <v>21</v>
      </c>
      <c r="BU80" s="166" t="str">
        <f t="shared" si="43"/>
        <v>x</v>
      </c>
      <c r="BV80" s="167" t="str">
        <f t="shared" ref="BV80" si="100">INDEX(N$17:N$42,BS80)</f>
        <v/>
      </c>
    </row>
    <row r="81" spans="71:74" x14ac:dyDescent="0.35">
      <c r="BS81" s="159">
        <f t="shared" si="94"/>
        <v>22</v>
      </c>
      <c r="BT81" s="159">
        <f t="shared" si="94"/>
        <v>23</v>
      </c>
      <c r="BU81" s="166" t="str">
        <f t="shared" si="43"/>
        <v>x</v>
      </c>
      <c r="BV81" s="167" t="str">
        <f t="shared" si="44"/>
        <v/>
      </c>
    </row>
    <row r="82" spans="71:74" x14ac:dyDescent="0.35">
      <c r="BS82" s="159">
        <f t="shared" si="94"/>
        <v>22</v>
      </c>
      <c r="BT82" s="159">
        <f t="shared" si="94"/>
        <v>23</v>
      </c>
      <c r="BU82" s="166" t="str">
        <f t="shared" ref="BU82:BU93" si="101">IF(ISNUMBER(BV82),IF(OR(ISBLANK(INDEX(B$17:B$43,BS82)),ISBLANK(INDEX(B$17:B$43,BT82))),INDEX(B$17:B$43,BS82),(INDEX(B$17:B$43,BS82)+INDEX(B$17:B$43,BT82))/2),BU81)</f>
        <v>x</v>
      </c>
      <c r="BV82" s="167" t="str">
        <f t="shared" ref="BV82" si="102">IF(ISBLANK(INDEX(B$17:B$42,BS82)),BV81,$BV$15)</f>
        <v/>
      </c>
    </row>
    <row r="83" spans="71:74" x14ac:dyDescent="0.35">
      <c r="BS83" s="159">
        <f t="shared" si="94"/>
        <v>23</v>
      </c>
      <c r="BT83" s="159">
        <f t="shared" si="94"/>
        <v>22</v>
      </c>
      <c r="BU83" s="166" t="str">
        <f t="shared" si="101"/>
        <v>x</v>
      </c>
      <c r="BV83" s="167" t="str">
        <f t="shared" ref="BV83:BV93" si="103">INDEX(N$17:N$42,BS83)</f>
        <v/>
      </c>
    </row>
    <row r="84" spans="71:74" x14ac:dyDescent="0.35">
      <c r="BS84" s="159">
        <f t="shared" si="94"/>
        <v>23</v>
      </c>
      <c r="BT84" s="159">
        <f t="shared" si="94"/>
        <v>24</v>
      </c>
      <c r="BU84" s="166" t="str">
        <f t="shared" si="101"/>
        <v>x</v>
      </c>
      <c r="BV84" s="167" t="str">
        <f t="shared" si="103"/>
        <v/>
      </c>
    </row>
    <row r="85" spans="71:74" x14ac:dyDescent="0.35">
      <c r="BS85" s="159">
        <f t="shared" si="94"/>
        <v>23</v>
      </c>
      <c r="BT85" s="159">
        <f t="shared" si="94"/>
        <v>24</v>
      </c>
      <c r="BU85" s="166" t="str">
        <f t="shared" si="101"/>
        <v>x</v>
      </c>
      <c r="BV85" s="167" t="str">
        <f t="shared" ref="BV85" si="104">IF(ISBLANK(INDEX(B$17:B$42,BS85)),BV84,$BV$15)</f>
        <v/>
      </c>
    </row>
    <row r="86" spans="71:74" x14ac:dyDescent="0.35">
      <c r="BS86" s="159">
        <f t="shared" si="94"/>
        <v>24</v>
      </c>
      <c r="BT86" s="159">
        <f t="shared" si="94"/>
        <v>23</v>
      </c>
      <c r="BU86" s="166" t="str">
        <f t="shared" si="101"/>
        <v>x</v>
      </c>
      <c r="BV86" s="167" t="str">
        <f t="shared" ref="BV86" si="105">INDEX(N$17:N$42,BS86)</f>
        <v/>
      </c>
    </row>
    <row r="87" spans="71:74" x14ac:dyDescent="0.35">
      <c r="BS87" s="159">
        <f t="shared" si="94"/>
        <v>24</v>
      </c>
      <c r="BT87" s="159">
        <f t="shared" si="94"/>
        <v>25</v>
      </c>
      <c r="BU87" s="166" t="str">
        <f t="shared" si="101"/>
        <v>x</v>
      </c>
      <c r="BV87" s="167" t="str">
        <f t="shared" si="103"/>
        <v/>
      </c>
    </row>
    <row r="88" spans="71:74" x14ac:dyDescent="0.35">
      <c r="BS88" s="159">
        <f t="shared" si="94"/>
        <v>24</v>
      </c>
      <c r="BT88" s="159">
        <f t="shared" si="94"/>
        <v>25</v>
      </c>
      <c r="BU88" s="166" t="str">
        <f t="shared" si="101"/>
        <v>x</v>
      </c>
      <c r="BV88" s="167" t="str">
        <f t="shared" ref="BV88" si="106">IF(ISBLANK(INDEX(B$17:B$42,BS88)),BV87,$BV$15)</f>
        <v/>
      </c>
    </row>
    <row r="89" spans="71:74" x14ac:dyDescent="0.35">
      <c r="BS89" s="159">
        <f t="shared" ref="BS89:BT93" si="107">BS86+1</f>
        <v>25</v>
      </c>
      <c r="BT89" s="159">
        <f t="shared" si="107"/>
        <v>24</v>
      </c>
      <c r="BU89" s="166" t="str">
        <f t="shared" si="101"/>
        <v>x</v>
      </c>
      <c r="BV89" s="167" t="str">
        <f t="shared" ref="BV89" si="108">INDEX(N$17:N$42,BS89)</f>
        <v/>
      </c>
    </row>
    <row r="90" spans="71:74" x14ac:dyDescent="0.35">
      <c r="BS90" s="159">
        <f t="shared" si="107"/>
        <v>25</v>
      </c>
      <c r="BT90" s="159">
        <f t="shared" si="107"/>
        <v>26</v>
      </c>
      <c r="BU90" s="166" t="str">
        <f t="shared" si="101"/>
        <v>x</v>
      </c>
      <c r="BV90" s="167" t="str">
        <f t="shared" si="103"/>
        <v/>
      </c>
    </row>
    <row r="91" spans="71:74" x14ac:dyDescent="0.35">
      <c r="BS91" s="159">
        <f t="shared" si="107"/>
        <v>25</v>
      </c>
      <c r="BT91" s="159">
        <f t="shared" si="107"/>
        <v>26</v>
      </c>
      <c r="BU91" s="166" t="str">
        <f t="shared" si="101"/>
        <v>x</v>
      </c>
      <c r="BV91" s="167" t="str">
        <f t="shared" ref="BV91" si="109">IF(ISBLANK(INDEX(B$17:B$42,BS91)),BV90,$BV$15)</f>
        <v/>
      </c>
    </row>
    <row r="92" spans="71:74" x14ac:dyDescent="0.35">
      <c r="BS92" s="159">
        <f t="shared" si="107"/>
        <v>26</v>
      </c>
      <c r="BT92" s="159">
        <f t="shared" si="107"/>
        <v>25</v>
      </c>
      <c r="BU92" s="166" t="str">
        <f t="shared" si="101"/>
        <v>x</v>
      </c>
      <c r="BV92" s="167" t="str">
        <f t="shared" ref="BV92" si="110">INDEX(N$17:N$42,BS92)</f>
        <v/>
      </c>
    </row>
    <row r="93" spans="71:74" x14ac:dyDescent="0.35">
      <c r="BS93" s="159">
        <f t="shared" si="107"/>
        <v>26</v>
      </c>
      <c r="BT93" s="159">
        <f t="shared" si="107"/>
        <v>27</v>
      </c>
      <c r="BU93" s="166" t="str">
        <f t="shared" si="101"/>
        <v>x</v>
      </c>
      <c r="BV93" s="167" t="str">
        <f t="shared" si="103"/>
        <v/>
      </c>
    </row>
    <row r="94" spans="71:74" x14ac:dyDescent="0.35">
      <c r="BU94" s="166"/>
    </row>
    <row r="95" spans="71:74" x14ac:dyDescent="0.35">
      <c r="BU95" s="166"/>
    </row>
    <row r="96" spans="71:74" x14ac:dyDescent="0.35">
      <c r="BU96" s="166"/>
    </row>
    <row r="97" spans="73:73" x14ac:dyDescent="0.35">
      <c r="BU97" s="166"/>
    </row>
    <row r="98" spans="73:73" x14ac:dyDescent="0.35">
      <c r="BU98" s="166"/>
    </row>
  </sheetData>
  <mergeCells count="27">
    <mergeCell ref="AG15:AI15"/>
    <mergeCell ref="B8:C8"/>
    <mergeCell ref="D8:E8"/>
    <mergeCell ref="J8:K8"/>
    <mergeCell ref="L8:M8"/>
    <mergeCell ref="BB15:BK15"/>
    <mergeCell ref="J9:K9"/>
    <mergeCell ref="L9:M9"/>
    <mergeCell ref="B10:C11"/>
    <mergeCell ref="E10:F11"/>
    <mergeCell ref="H11:H12"/>
    <mergeCell ref="I11:I12"/>
    <mergeCell ref="J11:M11"/>
    <mergeCell ref="Z11:AA11"/>
    <mergeCell ref="B13:C13"/>
    <mergeCell ref="E13:F13"/>
    <mergeCell ref="AD15:AF15"/>
    <mergeCell ref="AQ1:AU1"/>
    <mergeCell ref="E2:F2"/>
    <mergeCell ref="B6:C6"/>
    <mergeCell ref="E6:F6"/>
    <mergeCell ref="H7:M7"/>
    <mergeCell ref="B4:C4"/>
    <mergeCell ref="E4:F4"/>
    <mergeCell ref="A1:C1"/>
    <mergeCell ref="Z1:AA1"/>
    <mergeCell ref="AD1:AI1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V316"/>
  <sheetViews>
    <sheetView zoomScale="70" zoomScaleNormal="70" workbookViewId="0">
      <selection activeCell="E22" sqref="E22"/>
    </sheetView>
  </sheetViews>
  <sheetFormatPr baseColWidth="10" defaultColWidth="10.453125" defaultRowHeight="14.5" x14ac:dyDescent="0.35"/>
  <cols>
    <col min="1" max="1" width="21" style="35" customWidth="1"/>
    <col min="2" max="2" width="17.81640625" style="35" customWidth="1"/>
    <col min="3" max="4" width="17.7265625" style="35" customWidth="1"/>
    <col min="5" max="5" width="19.1796875" style="35" customWidth="1"/>
    <col min="6" max="6" width="24.26953125" style="35" customWidth="1"/>
    <col min="7" max="7" width="6" style="25" customWidth="1"/>
    <col min="8" max="8" width="19.81640625" style="25" customWidth="1"/>
    <col min="9" max="9" width="23.7265625" style="25" customWidth="1"/>
    <col min="10" max="11" width="14.1796875" style="25" customWidth="1"/>
    <col min="12" max="12" width="13.453125" style="126" customWidth="1"/>
    <col min="13" max="13" width="11.81640625" style="25" customWidth="1"/>
    <col min="14" max="24" width="10.453125" style="25"/>
    <col min="25" max="25" width="10.453125" style="46"/>
    <col min="26" max="26" width="11.81640625" style="25" customWidth="1"/>
    <col min="27" max="27" width="13.7265625" style="46" customWidth="1"/>
    <col min="28" max="28" width="10.453125" style="25"/>
    <col min="29" max="29" width="11.453125" style="41" bestFit="1" customWidth="1"/>
    <col min="30" max="30" width="20.453125" style="41" customWidth="1"/>
    <col min="31" max="35" width="10.453125" style="41"/>
    <col min="36" max="36" width="10.453125" style="122"/>
    <col min="37" max="37" width="10.453125" style="25"/>
    <col min="38" max="39" width="11.453125" style="41" bestFit="1" customWidth="1"/>
    <col min="40" max="40" width="20.7265625" style="41" bestFit="1" customWidth="1"/>
    <col min="41" max="41" width="10.54296875" style="41" bestFit="1" customWidth="1"/>
    <col min="42" max="42" width="10.54296875" style="122" bestFit="1" customWidth="1"/>
    <col min="43" max="44" width="10.54296875" style="41" bestFit="1" customWidth="1"/>
    <col min="45" max="45" width="10.54296875" style="41" customWidth="1"/>
    <col min="46" max="46" width="12.54296875" style="41" bestFit="1" customWidth="1"/>
    <col min="47" max="47" width="11.81640625" style="68" bestFit="1" customWidth="1"/>
    <col min="48" max="49" width="11.81640625" style="41" bestFit="1" customWidth="1"/>
    <col min="50" max="50" width="12.54296875" style="41" bestFit="1" customWidth="1"/>
    <col min="51" max="51" width="11.81640625" style="41" bestFit="1" customWidth="1"/>
    <col min="52" max="52" width="11.81640625" style="11" bestFit="1" customWidth="1"/>
    <col min="53" max="64" width="10.453125" style="25"/>
    <col min="65" max="66" width="12" style="25" bestFit="1" customWidth="1"/>
    <col min="67" max="67" width="10.453125" style="25"/>
    <col min="68" max="68" width="11.453125" style="25" bestFit="1" customWidth="1"/>
    <col min="69" max="69" width="12.54296875" style="46" bestFit="1" customWidth="1"/>
    <col min="70" max="70" width="12.1796875" style="25" bestFit="1" customWidth="1"/>
    <col min="71" max="71" width="12.1796875" style="122" customWidth="1"/>
    <col min="72" max="74" width="10.453125" style="122"/>
    <col min="75" max="16384" width="10.453125" style="25"/>
  </cols>
  <sheetData>
    <row r="1" spans="1:74" ht="57.75" customHeight="1" x14ac:dyDescent="0.45">
      <c r="A1" s="214" t="s">
        <v>174</v>
      </c>
      <c r="B1" s="214"/>
      <c r="C1" s="214"/>
      <c r="D1" s="168"/>
      <c r="E1" s="211" t="s">
        <v>177</v>
      </c>
      <c r="F1" s="169" t="str">
        <f>CONCATENATE(IF(ISNUMBER(H13),H13,"   ")&amp;" L/s")</f>
        <v>98.9 L/s</v>
      </c>
      <c r="H1" s="26" t="s">
        <v>47</v>
      </c>
      <c r="I1" s="26"/>
      <c r="J1" s="16"/>
      <c r="K1" s="17"/>
      <c r="L1" s="46"/>
      <c r="M1" s="46"/>
      <c r="W1" s="25">
        <f>10/11-2/3</f>
        <v>0.24242424242424243</v>
      </c>
      <c r="Z1" s="215" t="s">
        <v>65</v>
      </c>
      <c r="AA1" s="215"/>
      <c r="AB1" s="51"/>
      <c r="AD1" s="216" t="s">
        <v>125</v>
      </c>
      <c r="AE1" s="216"/>
      <c r="AF1" s="216"/>
      <c r="AG1" s="216"/>
      <c r="AH1" s="216"/>
      <c r="AI1" s="216"/>
      <c r="AK1" s="41"/>
      <c r="AP1" s="152"/>
      <c r="AQ1" s="217" t="s">
        <v>143</v>
      </c>
      <c r="AR1" s="217"/>
      <c r="AS1" s="217"/>
      <c r="AT1" s="217"/>
      <c r="AU1" s="217"/>
      <c r="AV1" s="25"/>
      <c r="BA1" s="66" t="s">
        <v>124</v>
      </c>
      <c r="BB1" s="23"/>
      <c r="BC1" s="18"/>
      <c r="BD1" s="41"/>
      <c r="BE1" s="41"/>
      <c r="BF1" s="41"/>
      <c r="BG1" s="41"/>
    </row>
    <row r="2" spans="1:74" ht="27.65" customHeight="1" x14ac:dyDescent="0.45">
      <c r="A2" s="254" t="s">
        <v>179</v>
      </c>
      <c r="B2" s="214"/>
      <c r="C2" s="214"/>
      <c r="D2" s="168"/>
      <c r="E2" s="218" t="str">
        <f>IF(ISNUMBER(H13),CONCATENATE(ROUND((1-K13)*H13,1)&amp;" &lt; Q &lt; "&amp;ROUND((1+K13)*H13,1)&amp;" L/s"),"")</f>
        <v>91.8 &lt; Q &lt; 106 L/s</v>
      </c>
      <c r="F2" s="218"/>
      <c r="H2" s="26"/>
      <c r="I2" s="26"/>
      <c r="J2" s="16"/>
      <c r="K2" s="17"/>
      <c r="L2" s="46"/>
      <c r="M2" s="46"/>
      <c r="Z2" s="190"/>
      <c r="AA2" s="190"/>
      <c r="AB2" s="51"/>
      <c r="AD2" s="192"/>
      <c r="AE2" s="192"/>
      <c r="AF2" s="192"/>
      <c r="AG2" s="192"/>
      <c r="AH2" s="192"/>
      <c r="AI2" s="192"/>
      <c r="AK2" s="41"/>
      <c r="AP2" s="152"/>
      <c r="AQ2" s="191"/>
      <c r="AR2" s="191"/>
      <c r="AS2" s="191"/>
      <c r="AT2" s="191"/>
      <c r="AU2" s="191"/>
      <c r="AV2" s="25"/>
      <c r="BA2" s="66"/>
      <c r="BB2" s="23"/>
      <c r="BC2" s="18"/>
      <c r="BD2" s="41"/>
      <c r="BE2" s="41"/>
      <c r="BF2" s="41"/>
      <c r="BG2" s="41"/>
    </row>
    <row r="3" spans="1:74" ht="18.75" customHeight="1" x14ac:dyDescent="0.45">
      <c r="A3" s="170"/>
      <c r="B3" s="170"/>
      <c r="C3" s="170"/>
      <c r="D3" s="170"/>
      <c r="E3" s="170"/>
      <c r="F3" s="170"/>
      <c r="H3" s="27"/>
      <c r="I3" s="27"/>
      <c r="J3" s="17"/>
      <c r="K3" s="17"/>
      <c r="L3" s="46"/>
      <c r="M3" s="46"/>
      <c r="W3" s="14">
        <f>W1/2/SQRT(3)</f>
        <v>6.9981850810863735E-2</v>
      </c>
      <c r="Z3" s="52" t="s">
        <v>68</v>
      </c>
      <c r="AA3" s="53">
        <v>0.01</v>
      </c>
      <c r="AB3" s="52"/>
      <c r="AD3" s="9"/>
      <c r="AE3" s="9"/>
      <c r="AF3" s="44" t="s">
        <v>123</v>
      </c>
      <c r="AK3" s="41"/>
      <c r="AP3" s="152"/>
      <c r="AQ3" s="59"/>
      <c r="AR3" s="59"/>
      <c r="AS3" s="60" t="s">
        <v>123</v>
      </c>
      <c r="AT3" s="25"/>
      <c r="AV3" s="25"/>
      <c r="BA3" s="18"/>
      <c r="BB3" s="18"/>
      <c r="BC3" s="19" t="s">
        <v>123</v>
      </c>
      <c r="BD3" s="41"/>
      <c r="BE3" s="41"/>
      <c r="BF3" s="41"/>
      <c r="BG3" s="41"/>
    </row>
    <row r="4" spans="1:74" ht="26.25" customHeight="1" x14ac:dyDescent="0.45">
      <c r="A4" s="171" t="s">
        <v>0</v>
      </c>
      <c r="B4" s="212" t="s">
        <v>99</v>
      </c>
      <c r="C4" s="212"/>
      <c r="D4" s="171" t="s">
        <v>1</v>
      </c>
      <c r="E4" s="213">
        <v>44672</v>
      </c>
      <c r="F4" s="212"/>
      <c r="H4" s="27" t="s">
        <v>2</v>
      </c>
      <c r="I4" s="27" t="s">
        <v>3</v>
      </c>
      <c r="J4" s="17"/>
      <c r="K4" s="17"/>
      <c r="L4" s="46"/>
      <c r="M4" s="46"/>
      <c r="Z4" s="52" t="s">
        <v>66</v>
      </c>
      <c r="AA4" s="52">
        <v>0.01</v>
      </c>
      <c r="AB4" s="52" t="s">
        <v>67</v>
      </c>
      <c r="AD4" s="9" t="s">
        <v>86</v>
      </c>
      <c r="AE4" s="10">
        <f>AA3^2/$K$13^2*4</f>
        <v>7.8320960250139834E-2</v>
      </c>
      <c r="AF4" s="10">
        <f>AA3*2</f>
        <v>0.02</v>
      </c>
      <c r="AK4" s="41"/>
      <c r="AP4" s="152"/>
      <c r="AQ4" s="59" t="s">
        <v>86</v>
      </c>
      <c r="AR4" s="61">
        <f>$AA$3^2/$J$13^2*4</f>
        <v>4.231397115766327E-2</v>
      </c>
      <c r="AS4" s="61">
        <f>$AA$3*2</f>
        <v>0.02</v>
      </c>
      <c r="AT4" s="25"/>
      <c r="AV4" s="25"/>
      <c r="BA4" s="18" t="s">
        <v>86</v>
      </c>
      <c r="BB4" s="20">
        <f>$AA$3^2/$L$13^2*4</f>
        <v>1.2607576489441026E-2</v>
      </c>
      <c r="BC4" s="20">
        <f>$AA$3*2</f>
        <v>0.02</v>
      </c>
      <c r="BD4" s="41"/>
      <c r="BE4" s="41"/>
      <c r="BF4" s="41"/>
      <c r="BG4" s="41"/>
    </row>
    <row r="5" spans="1:74" ht="18.5" x14ac:dyDescent="0.45">
      <c r="H5" s="27">
        <v>0.64100000000000001</v>
      </c>
      <c r="I5" s="27">
        <v>-1.9E-2</v>
      </c>
      <c r="J5" s="17"/>
      <c r="K5" s="17"/>
      <c r="L5" s="46"/>
      <c r="M5" s="46"/>
      <c r="Z5" s="52" t="s">
        <v>69</v>
      </c>
      <c r="AA5" s="52">
        <v>5.0000000000000001E-3</v>
      </c>
      <c r="AB5" s="52" t="s">
        <v>67</v>
      </c>
      <c r="AD5" s="9" t="s">
        <v>89</v>
      </c>
      <c r="AE5" s="10">
        <f>AV15/$K$13^2*4</f>
        <v>0.48945924159397786</v>
      </c>
      <c r="AF5" s="10">
        <f>SQRT(AV15)*2</f>
        <v>4.9997611822634222E-2</v>
      </c>
      <c r="AK5" s="41"/>
      <c r="AP5" s="152"/>
      <c r="AQ5" s="59" t="s">
        <v>89</v>
      </c>
      <c r="AR5" s="62">
        <f>$AV$15/$J$13^2*4</f>
        <v>0.26443705702168452</v>
      </c>
      <c r="AS5" s="62">
        <f>SQRT($AV$15)*2</f>
        <v>4.9997611822634222E-2</v>
      </c>
      <c r="AT5" s="25"/>
      <c r="AV5" s="25"/>
      <c r="BA5" s="18" t="s">
        <v>89</v>
      </c>
      <c r="BB5" s="21">
        <f>$AV$15/$L$13^2*4</f>
        <v>7.8789825956568915E-2</v>
      </c>
      <c r="BC5" s="21">
        <f>SQRT($AV$15)*2</f>
        <v>4.9997611822634222E-2</v>
      </c>
      <c r="BD5" s="41"/>
      <c r="BE5" s="41"/>
      <c r="BF5" s="41"/>
      <c r="BG5" s="41"/>
    </row>
    <row r="6" spans="1:74" ht="28.5" customHeight="1" thickBot="1" x14ac:dyDescent="0.5">
      <c r="A6" s="171" t="s">
        <v>4</v>
      </c>
      <c r="B6" s="212" t="s">
        <v>97</v>
      </c>
      <c r="C6" s="212"/>
      <c r="D6" s="171" t="s">
        <v>5</v>
      </c>
      <c r="E6" s="212" t="s">
        <v>166</v>
      </c>
      <c r="F6" s="212"/>
      <c r="H6" s="17"/>
      <c r="I6" s="17"/>
      <c r="J6" s="17"/>
      <c r="K6" s="17"/>
      <c r="L6" s="46"/>
      <c r="M6" s="46"/>
      <c r="Z6" s="54" t="s">
        <v>75</v>
      </c>
      <c r="AA6" s="52">
        <v>1E-3</v>
      </c>
      <c r="AB6" s="52" t="s">
        <v>67</v>
      </c>
      <c r="AD6" s="9" t="s">
        <v>90</v>
      </c>
      <c r="AE6" s="10">
        <f>AW15/$K$13^2*4</f>
        <v>2.1427941123163301E-2</v>
      </c>
      <c r="AF6" s="10">
        <f>SQRT(AW15)*2</f>
        <v>1.046119303858405E-2</v>
      </c>
      <c r="AK6" s="41"/>
      <c r="AP6" s="152"/>
      <c r="AQ6" s="59" t="s">
        <v>90</v>
      </c>
      <c r="AR6" s="62">
        <f>$AW$15/$J$13^2*4</f>
        <v>1.1576738586424822E-2</v>
      </c>
      <c r="AS6" s="62">
        <f>SQRT($AW$15)*2</f>
        <v>1.046119303858405E-2</v>
      </c>
      <c r="AT6" s="25"/>
      <c r="AV6" s="25"/>
      <c r="BA6" s="18" t="s">
        <v>90</v>
      </c>
      <c r="BB6" s="21">
        <f>$AW$15/$L$13^2*4</f>
        <v>3.4493244957506481E-3</v>
      </c>
      <c r="BC6" s="21">
        <f>SQRT($AW$15)*2</f>
        <v>1.046119303858405E-2</v>
      </c>
      <c r="BD6" s="41"/>
      <c r="BE6" s="41"/>
      <c r="BF6" s="41"/>
      <c r="BG6" s="41"/>
    </row>
    <row r="7" spans="1:74" ht="18.5" x14ac:dyDescent="0.45">
      <c r="A7" s="172"/>
      <c r="B7" s="173"/>
      <c r="C7" s="173"/>
      <c r="D7" s="172"/>
      <c r="E7" s="174"/>
      <c r="F7" s="174"/>
      <c r="H7" s="219" t="s">
        <v>6</v>
      </c>
      <c r="I7" s="220"/>
      <c r="J7" s="220"/>
      <c r="K7" s="220"/>
      <c r="L7" s="220"/>
      <c r="M7" s="221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7"/>
      <c r="Z7" s="54" t="s">
        <v>76</v>
      </c>
      <c r="AA7" s="52">
        <v>0.1</v>
      </c>
      <c r="AB7" s="52" t="s">
        <v>77</v>
      </c>
      <c r="AC7" s="3"/>
      <c r="AD7" s="9" t="s">
        <v>87</v>
      </c>
      <c r="AE7" s="10">
        <f>AY15/$K$13^2*4</f>
        <v>0.38131542093838255</v>
      </c>
      <c r="AF7" s="10">
        <f>SQRT(AY15)*2</f>
        <v>4.4129923895747478E-2</v>
      </c>
      <c r="AK7" s="41"/>
      <c r="AP7" s="152"/>
      <c r="AQ7" s="59" t="s">
        <v>87</v>
      </c>
      <c r="AR7" s="62">
        <f>$AY$15/$J$13^2*4</f>
        <v>0.20601087719082375</v>
      </c>
      <c r="AS7" s="62">
        <f>SQRT($AY$15)*2</f>
        <v>4.4129923895747478E-2</v>
      </c>
      <c r="AT7" s="25"/>
      <c r="AV7" s="25"/>
      <c r="BA7" s="18" t="s">
        <v>87</v>
      </c>
      <c r="BB7" s="21">
        <f>$AY$15/$L$13^2*4</f>
        <v>6.1381567855272517E-2</v>
      </c>
      <c r="BC7" s="21">
        <f>SQRT($AY$15)*2</f>
        <v>4.4129923895747478E-2</v>
      </c>
      <c r="BD7" s="41"/>
      <c r="BE7" s="41"/>
      <c r="BF7" s="41"/>
      <c r="BG7" s="41"/>
    </row>
    <row r="8" spans="1:74" ht="31.5" customHeight="1" x14ac:dyDescent="0.45">
      <c r="A8" s="171" t="s">
        <v>7</v>
      </c>
      <c r="B8" s="212">
        <v>2107</v>
      </c>
      <c r="C8" s="212"/>
      <c r="D8" s="222" t="s">
        <v>8</v>
      </c>
      <c r="E8" s="222"/>
      <c r="F8" s="175" t="s">
        <v>98</v>
      </c>
      <c r="H8" s="136" t="s">
        <v>9</v>
      </c>
      <c r="I8" s="139" t="s">
        <v>10</v>
      </c>
      <c r="J8" s="223" t="s">
        <v>11</v>
      </c>
      <c r="K8" s="223"/>
      <c r="L8" s="223" t="s">
        <v>140</v>
      </c>
      <c r="M8" s="224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47"/>
      <c r="Z8" s="52" t="s">
        <v>70</v>
      </c>
      <c r="AA8" s="53">
        <v>0.09</v>
      </c>
      <c r="AD8" s="9" t="s">
        <v>88</v>
      </c>
      <c r="AE8" s="10">
        <f>AZ15/$K$13^2*4</f>
        <v>2.1349973560943814E-3</v>
      </c>
      <c r="AF8" s="10">
        <f>SQRT(AZ15)*2</f>
        <v>3.3020957687701132E-3</v>
      </c>
      <c r="AK8" s="41"/>
      <c r="AP8" s="152"/>
      <c r="AQ8" s="59" t="s">
        <v>88</v>
      </c>
      <c r="AR8" s="62">
        <f>$AZ$15/$J$13^2*4</f>
        <v>1.1534615543391999E-3</v>
      </c>
      <c r="AS8" s="62">
        <f>SQRT($AZ$15)*2</f>
        <v>3.3020957687701132E-3</v>
      </c>
      <c r="AT8" s="25"/>
      <c r="AV8" s="25"/>
      <c r="BA8" s="18" t="s">
        <v>88</v>
      </c>
      <c r="BB8" s="21">
        <f>$AZ$15/$L$13^2*4</f>
        <v>3.4367738068770951E-4</v>
      </c>
      <c r="BC8" s="21">
        <f>SQRT($AZ$15)*2</f>
        <v>3.3020957687701132E-3</v>
      </c>
      <c r="BD8" s="41"/>
      <c r="BE8" s="41"/>
      <c r="BF8" s="41"/>
      <c r="BG8" s="41"/>
    </row>
    <row r="9" spans="1:74" ht="18.5" x14ac:dyDescent="0.45">
      <c r="A9" s="172"/>
      <c r="B9" s="73"/>
      <c r="C9" s="73"/>
      <c r="D9" s="172"/>
      <c r="E9" s="97"/>
      <c r="F9" s="97"/>
      <c r="H9" s="127">
        <f>IF(ISBLANK(B17),"",ROUND(SUM(L17:L42),3-(1+INT(LOG10(ABS(SUM(L17:L42)))))))</f>
        <v>9.8900000000000002E-2</v>
      </c>
      <c r="I9" s="140">
        <f>IF(ISNUMBER($H$9),ROUND(SUM(K17:K42),3-(1+INT(LOG10(ABS(SUM(K17:K42)))))),"")</f>
        <v>0.45800000000000002</v>
      </c>
      <c r="J9" s="226">
        <f>IF(ISNUMBER($H$9),ROUND(H9/I9,3-(1+INT(LOG10(ABS(H9/I9))))),"")</f>
        <v>0.216</v>
      </c>
      <c r="K9" s="226"/>
      <c r="L9" s="227">
        <f>IF(ISNUMBER($H$9),COUNTA(B17:B42)-2,"")</f>
        <v>13</v>
      </c>
      <c r="M9" s="228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47"/>
      <c r="Z9" s="54" t="s">
        <v>106</v>
      </c>
      <c r="AA9" s="52">
        <v>15</v>
      </c>
      <c r="AB9" s="52" t="s">
        <v>107</v>
      </c>
      <c r="AC9" s="41">
        <f>AA9/180*PI()</f>
        <v>0.26179938779914941</v>
      </c>
      <c r="AD9" s="9" t="s">
        <v>120</v>
      </c>
      <c r="AE9" s="10">
        <f>BM15/$K$13^2*4</f>
        <v>2.1862552545020997E-2</v>
      </c>
      <c r="AF9" s="10">
        <f>SQRT(BM15)*2</f>
        <v>1.0566749867367003E-2</v>
      </c>
      <c r="AK9" s="41"/>
      <c r="AP9" s="152"/>
      <c r="AQ9" s="59" t="s">
        <v>96</v>
      </c>
      <c r="AR9" s="62">
        <f>$AA$12^2/$J$13^2*4</f>
        <v>0.4745078944890645</v>
      </c>
      <c r="AS9" s="61">
        <f>AN9*2</f>
        <v>0</v>
      </c>
      <c r="AT9" s="25"/>
      <c r="AV9" s="25"/>
      <c r="BA9" s="18" t="s">
        <v>96</v>
      </c>
      <c r="BB9" s="21">
        <f>AA14^2/$L$13^2*4</f>
        <v>0.84342802782227955</v>
      </c>
      <c r="BC9" s="20">
        <f>AA14*2</f>
        <v>0.16358301343879789</v>
      </c>
      <c r="BD9" s="41"/>
      <c r="BE9" s="41"/>
      <c r="BF9" s="41"/>
      <c r="BG9" s="41"/>
    </row>
    <row r="10" spans="1:74" ht="18.5" x14ac:dyDescent="0.45">
      <c r="A10" s="171" t="s">
        <v>12</v>
      </c>
      <c r="B10" s="229" t="s">
        <v>163</v>
      </c>
      <c r="C10" s="212"/>
      <c r="D10" s="171" t="s">
        <v>13</v>
      </c>
      <c r="E10" s="230" t="s">
        <v>164</v>
      </c>
      <c r="F10" s="231"/>
      <c r="H10" s="128"/>
      <c r="I10" s="129"/>
      <c r="J10" s="129"/>
      <c r="K10" s="130"/>
      <c r="L10" s="129"/>
      <c r="M10" s="131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24"/>
      <c r="Y10" s="47"/>
      <c r="AD10" s="9" t="s">
        <v>121</v>
      </c>
      <c r="AE10" s="10">
        <f>BN15/$K$13^2*4</f>
        <v>5.4788861932208834E-3</v>
      </c>
      <c r="AF10" s="10">
        <f>SQRT(BN15)*2</f>
        <v>5.2897741945856338E-3</v>
      </c>
      <c r="AK10" s="41"/>
      <c r="AP10" s="152"/>
      <c r="AQ10" s="25"/>
      <c r="AR10" s="25"/>
      <c r="AS10" s="25"/>
      <c r="AT10" s="25"/>
      <c r="AV10" s="25"/>
      <c r="BA10" s="41"/>
      <c r="BB10" s="41"/>
      <c r="BC10" s="41"/>
      <c r="BD10" s="41"/>
      <c r="BE10" s="41"/>
      <c r="BF10" s="41"/>
      <c r="BG10" s="41"/>
    </row>
    <row r="11" spans="1:74" ht="18.649999999999999" customHeight="1" x14ac:dyDescent="0.45">
      <c r="A11" s="171"/>
      <c r="B11" s="212"/>
      <c r="C11" s="212"/>
      <c r="D11" s="171"/>
      <c r="E11" s="231"/>
      <c r="F11" s="231"/>
      <c r="H11" s="232" t="s">
        <v>44</v>
      </c>
      <c r="I11" s="233" t="s">
        <v>45</v>
      </c>
      <c r="J11" s="234" t="s">
        <v>103</v>
      </c>
      <c r="K11" s="234"/>
      <c r="L11" s="234"/>
      <c r="M11" s="2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47"/>
      <c r="Z11" s="215" t="s">
        <v>144</v>
      </c>
      <c r="AA11" s="215"/>
      <c r="AB11" s="52"/>
      <c r="AC11" s="3"/>
      <c r="AK11" s="41"/>
      <c r="AP11" s="152"/>
      <c r="AQ11" s="25"/>
      <c r="AR11" s="25"/>
      <c r="AS11" s="25"/>
      <c r="AT11" s="25"/>
      <c r="AV11" s="25"/>
      <c r="BA11" s="41"/>
      <c r="BB11" s="41"/>
      <c r="BC11" s="41"/>
      <c r="BD11" s="41"/>
      <c r="BE11" s="41"/>
      <c r="BF11" s="41"/>
      <c r="BG11" s="41"/>
    </row>
    <row r="12" spans="1:74" ht="18.649999999999999" customHeight="1" x14ac:dyDescent="0.45">
      <c r="B12" s="73"/>
      <c r="C12" s="73"/>
      <c r="E12" s="176"/>
      <c r="F12" s="176"/>
      <c r="H12" s="232"/>
      <c r="I12" s="233"/>
      <c r="J12" s="137" t="s">
        <v>139</v>
      </c>
      <c r="K12" s="137" t="s">
        <v>119</v>
      </c>
      <c r="L12" s="137" t="s">
        <v>122</v>
      </c>
      <c r="M12" s="138"/>
      <c r="N12" s="35"/>
      <c r="O12" s="35"/>
      <c r="P12" s="35"/>
      <c r="Q12" s="35"/>
      <c r="R12" s="35"/>
      <c r="S12" s="35"/>
      <c r="T12" s="35"/>
      <c r="U12" s="35"/>
      <c r="W12" s="35"/>
      <c r="X12" s="35"/>
      <c r="Y12" s="47"/>
      <c r="Z12" s="54" t="s">
        <v>141</v>
      </c>
      <c r="AA12" s="55">
        <f>(32*L9^(-0.88))/100</f>
        <v>3.3487276517122161E-2</v>
      </c>
      <c r="AK12" s="41"/>
      <c r="AP12" s="152"/>
      <c r="AQ12" s="59"/>
      <c r="AR12" s="59"/>
      <c r="AS12" s="59"/>
      <c r="AT12" s="25"/>
      <c r="AV12" s="25"/>
      <c r="BA12" s="41"/>
      <c r="BB12" s="41"/>
      <c r="BC12" s="41"/>
      <c r="BD12" s="41"/>
      <c r="BE12" s="41"/>
      <c r="BF12" s="41"/>
      <c r="BG12" s="41"/>
    </row>
    <row r="13" spans="1:74" ht="32.15" customHeight="1" thickBot="1" x14ac:dyDescent="0.5">
      <c r="A13" s="171" t="s">
        <v>63</v>
      </c>
      <c r="B13" s="212">
        <v>9.5</v>
      </c>
      <c r="C13" s="212"/>
      <c r="D13" s="171" t="s">
        <v>64</v>
      </c>
      <c r="E13" s="231">
        <v>9.5</v>
      </c>
      <c r="F13" s="231"/>
      <c r="H13" s="132">
        <f>IF(ISNUMBER($H$9),ROUND(H9*1000,3-(1+INT(LOG10(ABS(H9*1000))))),"")</f>
        <v>98.9</v>
      </c>
      <c r="I13" s="121">
        <f>IF(ISNUMBER($H$9),(H9-AJ15)/H9,"")</f>
        <v>0.97487672268524883</v>
      </c>
      <c r="J13" s="133">
        <f>IF(ISNUMBER($H$9),2*SQRT(AA3^2+AA12^2+AU15),"")</f>
        <v>9.7227272518592908E-2</v>
      </c>
      <c r="K13" s="134">
        <f>IF(ISNUMBER($H$9),2*SQRT(AA3^2+BQ15),"")</f>
        <v>7.146460439306393E-2</v>
      </c>
      <c r="L13" s="133">
        <f>IF(ISNUMBER($H$9),2*SQRT(AA3^2+AA14^2+AU15),"")</f>
        <v>0.17812061658602535</v>
      </c>
      <c r="M13" s="135"/>
      <c r="N13" s="35"/>
      <c r="O13" s="35"/>
      <c r="P13" s="35"/>
      <c r="Q13" s="35"/>
      <c r="R13" s="35"/>
      <c r="S13" s="35"/>
      <c r="T13" s="35"/>
      <c r="U13" s="35"/>
      <c r="W13" s="35"/>
      <c r="X13" s="35"/>
      <c r="Y13" s="47"/>
      <c r="Z13" s="54" t="s">
        <v>128</v>
      </c>
      <c r="AA13" s="56">
        <f>IF(AL15=0,0,AM15/AL15*AO15/H9)</f>
        <v>0.41586545422680143</v>
      </c>
      <c r="AD13" s="9" t="s">
        <v>82</v>
      </c>
      <c r="AE13" s="15">
        <f>SUM(AE4:AE10)</f>
        <v>0.99999999999999978</v>
      </c>
      <c r="AK13" s="41"/>
      <c r="AP13" s="152"/>
      <c r="AQ13" s="59" t="s">
        <v>82</v>
      </c>
      <c r="AR13" s="63">
        <f>SUM(AR4:AR9)</f>
        <v>1</v>
      </c>
      <c r="AS13" s="59"/>
      <c r="AT13" s="8"/>
      <c r="AU13" s="69"/>
      <c r="AV13" s="8"/>
      <c r="BA13" s="18" t="s">
        <v>82</v>
      </c>
      <c r="BB13" s="22">
        <f>SUM(BB4:BB9)</f>
        <v>1.0000000000000004</v>
      </c>
      <c r="BC13" s="18"/>
      <c r="BD13" s="41"/>
      <c r="BE13" s="41"/>
      <c r="BF13" s="41"/>
      <c r="BG13" s="41"/>
      <c r="BH13" s="8"/>
      <c r="BI13" s="8"/>
      <c r="BJ13" s="8"/>
      <c r="BK13" s="8"/>
      <c r="BO13" s="25" t="s">
        <v>131</v>
      </c>
      <c r="BP13" s="25" t="s">
        <v>130</v>
      </c>
    </row>
    <row r="14" spans="1:74" ht="11.25" customHeight="1" x14ac:dyDescent="0.35">
      <c r="H14" s="46"/>
      <c r="I14" s="46"/>
      <c r="J14" s="46"/>
      <c r="K14" s="46"/>
      <c r="L14" s="46"/>
      <c r="M14" s="47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47"/>
      <c r="Z14" s="54" t="s">
        <v>129</v>
      </c>
      <c r="AA14" s="55">
        <f>IF(AA13&lt;1.2,(-5.9*AA13^2+21.4*AA13+0.3)/100,(-5.9*1.2^2+21.4*1.2+0.3)/100)</f>
        <v>8.1791506719398943E-2</v>
      </c>
      <c r="AB14" s="52"/>
      <c r="AL14" s="41" t="s">
        <v>91</v>
      </c>
      <c r="AM14" s="41" t="s">
        <v>92</v>
      </c>
      <c r="AO14" s="41" t="s">
        <v>93</v>
      </c>
      <c r="BO14" s="25">
        <f t="array" ref="BO14">MAX(IF(ISNA(BO17:BO42),,BO17:BO42))*180/PI()</f>
        <v>33.360525400998654</v>
      </c>
      <c r="BP14" s="25">
        <f>BP15/PI()*180</f>
        <v>15.194553797827865</v>
      </c>
      <c r="BR14" s="25" t="s">
        <v>136</v>
      </c>
    </row>
    <row r="15" spans="1:74" s="29" customFormat="1" ht="61.5" customHeight="1" x14ac:dyDescent="0.45">
      <c r="A15" s="177" t="s">
        <v>14</v>
      </c>
      <c r="B15" s="177" t="s">
        <v>15</v>
      </c>
      <c r="C15" s="177" t="s">
        <v>16</v>
      </c>
      <c r="D15" s="177" t="s">
        <v>17</v>
      </c>
      <c r="E15" s="177" t="s">
        <v>18</v>
      </c>
      <c r="F15" s="177" t="s">
        <v>19</v>
      </c>
      <c r="H15" s="50" t="s">
        <v>48</v>
      </c>
      <c r="I15" s="50" t="s">
        <v>49</v>
      </c>
      <c r="J15" s="50" t="s">
        <v>20</v>
      </c>
      <c r="K15" s="50" t="s">
        <v>21</v>
      </c>
      <c r="L15" s="149" t="s">
        <v>22</v>
      </c>
      <c r="M15" s="50" t="s">
        <v>59</v>
      </c>
      <c r="N15" s="50" t="s">
        <v>58</v>
      </c>
      <c r="O15" s="36"/>
      <c r="P15" s="37" t="s">
        <v>57</v>
      </c>
      <c r="Q15" s="36"/>
      <c r="R15" s="36"/>
      <c r="S15" s="36"/>
      <c r="T15" s="36"/>
      <c r="U15" s="36"/>
      <c r="V15" s="36"/>
      <c r="W15" s="36"/>
      <c r="X15" s="36"/>
      <c r="Y15" s="57"/>
      <c r="Z15" s="54" t="s">
        <v>142</v>
      </c>
      <c r="AA15" s="55">
        <f>SQRT(BM15+BN15)</f>
        <v>5.9084243624930302E-3</v>
      </c>
      <c r="AB15" s="30"/>
      <c r="AC15" s="42"/>
      <c r="AD15" s="236" t="s">
        <v>94</v>
      </c>
      <c r="AE15" s="236"/>
      <c r="AF15" s="236"/>
      <c r="AG15" s="236" t="s">
        <v>95</v>
      </c>
      <c r="AH15" s="236"/>
      <c r="AI15" s="236"/>
      <c r="AJ15" s="123">
        <f>SUM(AJ17:AJ42)</f>
        <v>2.4846921264288918E-3</v>
      </c>
      <c r="AL15" s="42">
        <f t="array" ref="AL15">STDEVA(IF(AL17:AL42&lt;&gt;0,AL17:AL42))</f>
        <v>2.5839534247668581E-2</v>
      </c>
      <c r="AM15" s="42">
        <f t="array" ref="AM15">STDEVA(IF(AM17:AM42&lt;&gt;0,AM17:AM42))</f>
        <v>2.1675766022528301E-2</v>
      </c>
      <c r="AN15" s="42"/>
      <c r="AO15" s="42">
        <f>SUM(AO18:AO42)</f>
        <v>4.9029714427411941E-2</v>
      </c>
      <c r="AP15" s="124"/>
      <c r="AQ15" s="42"/>
      <c r="AR15" s="42"/>
      <c r="AS15" s="42"/>
      <c r="AT15" s="42"/>
      <c r="AU15" s="69">
        <f>SUM(AU17:AU42)</f>
        <v>1.1418879418169815E-3</v>
      </c>
      <c r="AV15" s="5">
        <f t="shared" ref="AV15:AX15" si="0">SUM(AV17:AV42)</f>
        <v>6.2494029699170341E-4</v>
      </c>
      <c r="AW15" s="5">
        <f t="shared" si="0"/>
        <v>2.7359139947629847E-5</v>
      </c>
      <c r="AX15" s="5">
        <f t="shared" si="0"/>
        <v>0</v>
      </c>
      <c r="AY15" s="5">
        <f>SUM(AY17:AY42)</f>
        <v>4.8686254576111606E-4</v>
      </c>
      <c r="AZ15" s="12">
        <f>SUM(AZ17:AZ42)</f>
        <v>2.7259591165323714E-6</v>
      </c>
      <c r="BB15" s="225" t="s">
        <v>117</v>
      </c>
      <c r="BC15" s="225"/>
      <c r="BD15" s="225"/>
      <c r="BE15" s="225"/>
      <c r="BF15" s="225"/>
      <c r="BG15" s="225"/>
      <c r="BH15" s="225"/>
      <c r="BI15" s="225"/>
      <c r="BJ15" s="225"/>
      <c r="BK15" s="225"/>
      <c r="BM15" s="29">
        <f t="shared" ref="BM15:BN15" si="1">SUM(BM17:BM42)</f>
        <v>2.7914050689875146E-5</v>
      </c>
      <c r="BN15" s="29">
        <f t="shared" si="1"/>
        <v>6.9954277574260226E-6</v>
      </c>
      <c r="BP15" s="29">
        <f>SUMIF(BP17:BP42,"&lt;&gt;#N/A")/$H$9</f>
        <v>0.26519499214350506</v>
      </c>
      <c r="BQ15" s="67">
        <f>SUM(BQ17:BQ42)</f>
        <v>1.1767974202642828E-3</v>
      </c>
      <c r="BR15" s="29">
        <f>SUM(AV15:AZ15,BM15:BN15)-BQ15</f>
        <v>0</v>
      </c>
      <c r="BS15" s="124"/>
      <c r="BT15" s="124" t="s">
        <v>171</v>
      </c>
      <c r="BU15" s="124" t="s">
        <v>168</v>
      </c>
      <c r="BV15" s="124">
        <v>0</v>
      </c>
    </row>
    <row r="16" spans="1:74" s="29" customFormat="1" ht="23.25" customHeight="1" x14ac:dyDescent="0.45">
      <c r="A16" s="1"/>
      <c r="B16" s="1"/>
      <c r="C16" s="1"/>
      <c r="D16" s="1"/>
      <c r="E16" s="1"/>
      <c r="F16" s="1"/>
      <c r="H16" s="28"/>
      <c r="I16" s="28"/>
      <c r="J16" s="28"/>
      <c r="K16" s="28"/>
      <c r="L16" s="150"/>
      <c r="O16" s="36"/>
      <c r="P16" s="37" t="s">
        <v>23</v>
      </c>
      <c r="Q16" s="36"/>
      <c r="R16" s="36"/>
      <c r="S16" s="36"/>
      <c r="T16" s="37" t="s">
        <v>24</v>
      </c>
      <c r="U16" s="36"/>
      <c r="V16" s="36"/>
      <c r="W16" s="36"/>
      <c r="X16" s="36"/>
      <c r="Y16" s="57" t="s">
        <v>25</v>
      </c>
      <c r="Z16" s="36"/>
      <c r="AA16" s="64"/>
      <c r="AB16" s="30"/>
      <c r="AC16" s="42" t="s">
        <v>55</v>
      </c>
      <c r="AD16" s="42" t="s">
        <v>52</v>
      </c>
      <c r="AE16" s="42" t="s">
        <v>53</v>
      </c>
      <c r="AF16" s="42" t="s">
        <v>54</v>
      </c>
      <c r="AG16" s="42" t="s">
        <v>52</v>
      </c>
      <c r="AH16" s="42" t="s">
        <v>53</v>
      </c>
      <c r="AI16" s="42" t="s">
        <v>54</v>
      </c>
      <c r="AJ16" s="124" t="s">
        <v>167</v>
      </c>
      <c r="AL16" s="42" t="s">
        <v>71</v>
      </c>
      <c r="AM16" s="42" t="s">
        <v>72</v>
      </c>
      <c r="AN16" s="42" t="s">
        <v>73</v>
      </c>
      <c r="AO16" s="42" t="s">
        <v>74</v>
      </c>
      <c r="AP16" s="124" t="s">
        <v>78</v>
      </c>
      <c r="AQ16" s="42" t="s">
        <v>80</v>
      </c>
      <c r="AR16" s="42" t="s">
        <v>79</v>
      </c>
      <c r="AS16" s="42" t="s">
        <v>133</v>
      </c>
      <c r="AT16" s="42" t="s">
        <v>134</v>
      </c>
      <c r="AU16" s="69" t="s">
        <v>81</v>
      </c>
      <c r="AV16" s="42" t="s">
        <v>83</v>
      </c>
      <c r="AW16" s="42" t="s">
        <v>84</v>
      </c>
      <c r="AX16" s="42" t="s">
        <v>85</v>
      </c>
      <c r="AY16" s="42" t="s">
        <v>132</v>
      </c>
      <c r="AZ16" s="13" t="s">
        <v>135</v>
      </c>
      <c r="BA16" s="29" t="s">
        <v>108</v>
      </c>
      <c r="BB16" s="29" t="s">
        <v>109</v>
      </c>
      <c r="BC16" s="29" t="s">
        <v>110</v>
      </c>
      <c r="BD16" s="29" t="s">
        <v>111</v>
      </c>
      <c r="BE16" s="29" t="s">
        <v>112</v>
      </c>
      <c r="BF16" s="29" t="s">
        <v>104</v>
      </c>
      <c r="BG16" s="29" t="s">
        <v>113</v>
      </c>
      <c r="BH16" s="29" t="s">
        <v>114</v>
      </c>
      <c r="BI16" s="29" t="s">
        <v>115</v>
      </c>
      <c r="BJ16" s="29" t="s">
        <v>116</v>
      </c>
      <c r="BK16" s="29" t="s">
        <v>105</v>
      </c>
      <c r="BM16" s="29" t="s">
        <v>137</v>
      </c>
      <c r="BN16" s="29" t="s">
        <v>138</v>
      </c>
      <c r="BO16" s="29" t="s">
        <v>126</v>
      </c>
      <c r="BP16" s="29" t="s">
        <v>127</v>
      </c>
      <c r="BQ16" s="67" t="s">
        <v>118</v>
      </c>
      <c r="BS16" s="124"/>
      <c r="BT16" s="124"/>
      <c r="BU16" s="124" t="s">
        <v>169</v>
      </c>
      <c r="BV16" s="124" t="s">
        <v>170</v>
      </c>
    </row>
    <row r="17" spans="1:74" ht="36" customHeight="1" x14ac:dyDescent="0.45">
      <c r="A17" s="178">
        <v>1</v>
      </c>
      <c r="B17" s="179">
        <v>1.88</v>
      </c>
      <c r="C17" s="179">
        <v>15</v>
      </c>
      <c r="D17" s="186"/>
      <c r="E17" s="179">
        <v>0.67</v>
      </c>
      <c r="F17" s="179"/>
      <c r="H17" s="31">
        <f t="shared" ref="H17:H31" si="2">IF(ISBLANK(B17),"",SQRT(2*9.81*D17/1000))</f>
        <v>0</v>
      </c>
      <c r="I17" s="31">
        <f>(2*E17-1)*I18</f>
        <v>6.8315973070178115E-2</v>
      </c>
      <c r="J17" s="32">
        <f>IF(ISBLANK(B17),"",I17*C17/100)</f>
        <v>1.0247395960526717E-2</v>
      </c>
      <c r="K17" s="31">
        <f>ABS(B18-B17)/2*C17/100</f>
        <v>1.3500000000000012E-2</v>
      </c>
      <c r="L17" s="151">
        <f>IF(ISBLANK(B17),"",I17*K17)</f>
        <v>9.2226563644740532E-4</v>
      </c>
      <c r="M17" s="146">
        <f>IF(ISBLANK(B17),0,L17/$H$9)</f>
        <v>9.3252339377897404E-3</v>
      </c>
      <c r="N17" s="2">
        <f>IF(ISBLANK(B17),"",-C17/100)</f>
        <v>-0.15</v>
      </c>
      <c r="O17" s="38">
        <f>E17</f>
        <v>0.67</v>
      </c>
      <c r="P17" s="38">
        <f>B17</f>
        <v>1.88</v>
      </c>
      <c r="Q17" s="38">
        <f t="shared" ref="Q17:Q42" si="3">$O$18*((P17-P$17)/(P$42-P$17))^(1/$O$17-1)</f>
        <v>0</v>
      </c>
      <c r="R17" s="38"/>
      <c r="S17" s="38">
        <f>LOOKUP(2,1/(B17:B42&lt;&gt;""),E17:E42)</f>
        <v>0.86</v>
      </c>
      <c r="T17" s="38">
        <f>LOOKUP(2,1/(B17:B42&lt;&gt;""),B17:B42)</f>
        <v>3.6</v>
      </c>
      <c r="U17" s="38">
        <f t="shared" ref="U17:U42" si="4">$S$18*((T17-T$17)/(T$42-T$17))^(1/$S$17-1)</f>
        <v>0</v>
      </c>
      <c r="V17" s="38"/>
      <c r="W17" s="38" t="e">
        <f>IF(OR(B16="",B18=""),NA(),I17)</f>
        <v>#N/A</v>
      </c>
      <c r="X17" s="38"/>
      <c r="Y17" s="58">
        <f>P17</f>
        <v>1.88</v>
      </c>
      <c r="Z17" s="38">
        <v>0</v>
      </c>
      <c r="AA17" s="65">
        <f t="shared" ref="AA17:AA20" si="5">-Z17/100</f>
        <v>0</v>
      </c>
      <c r="AB17" s="33"/>
      <c r="AC17" s="41">
        <f>B17</f>
        <v>1.88</v>
      </c>
      <c r="AD17" s="6">
        <f>IF(OR($M17&gt;0.1,$B17=""),NA(),I17)</f>
        <v>6.8315973070178115E-2</v>
      </c>
      <c r="AE17" s="6" t="e">
        <f>IF(AND($M17&gt;0.1,$M17&lt;0.15),I17,NA())</f>
        <v>#N/A</v>
      </c>
      <c r="AF17" s="6" t="e">
        <f>IF($M17&lt;0.15,NA(),I17)</f>
        <v>#N/A</v>
      </c>
      <c r="AG17" s="43">
        <f>IF($M17&gt;0.1,NA(),$M17)</f>
        <v>9.3252339377897404E-3</v>
      </c>
      <c r="AH17" s="43" t="e">
        <f>IF(AND($M17&gt;0.1,$M17&lt;0.15),$M17,NA())</f>
        <v>#N/A</v>
      </c>
      <c r="AI17" s="43" t="e">
        <f>IF($M17&lt;0.15,NA(),$M17)</f>
        <v>#N/A</v>
      </c>
      <c r="AJ17" s="125">
        <f>AP17</f>
        <v>9.2226563644740532E-4</v>
      </c>
      <c r="AL17" s="41">
        <f t="shared" ref="AL17:AL42" si="6">IF(ISBLANK(D17),0,J17)</f>
        <v>0</v>
      </c>
      <c r="AP17" s="153">
        <f>IF(ISNUMBER(L17),L17,0)</f>
        <v>9.2226563644740532E-4</v>
      </c>
      <c r="AQ17" s="41">
        <f>$AA$4/ABS(B18-B17)</f>
        <v>5.5555555555555511E-2</v>
      </c>
      <c r="AR17" s="41">
        <f>IF(C17=0,0,$AA$5/C17*100)</f>
        <v>3.3333333333333333E-2</v>
      </c>
      <c r="AS17" s="41">
        <f>IF(I18=0,0,$AA$11/I18)</f>
        <v>0</v>
      </c>
      <c r="AT17" s="4">
        <f>IF(D18=0,0,SQRT($AA$6^2/4/(D18/1000)^2+$AA$7^2*D18/1000))</f>
        <v>8.3692559074534489E-2</v>
      </c>
      <c r="AU17" s="68">
        <f>SUM(AV17:AZ17)</f>
        <v>1.678499541109748E-6</v>
      </c>
      <c r="AV17" s="41">
        <f t="shared" ref="AV17:AV42" si="7">AP17^2/$H$9^2*(AQ17^2)</f>
        <v>2.6839502467439937E-7</v>
      </c>
      <c r="AW17" s="41">
        <f t="shared" ref="AW17:AW42" si="8">AP17^2/$H$9^2*(AR17^2)</f>
        <v>9.6622208882783935E-8</v>
      </c>
      <c r="AX17" s="41">
        <f t="shared" ref="AX17:AX42" si="9">AP17^2/$H$9^2*(AS17^2)</f>
        <v>0</v>
      </c>
      <c r="AY17" s="41">
        <f>AP17^2/$H$9^2*(AT17^2)</f>
        <v>6.0910640479706993E-7</v>
      </c>
      <c r="AZ17" s="11">
        <f>AP17^2/$H$9^2*($AA$8^2)</f>
        <v>7.0437590275549475E-7</v>
      </c>
      <c r="BA17" s="25">
        <f>IF(C17=0,0,AN18*TAN($AA$9/180*PI())/(4*SQRT(3)*C17/100))</f>
        <v>4.64101615137755E-2</v>
      </c>
      <c r="BB17" s="25">
        <f t="shared" ref="BB17:BB42" si="10">IF(OR(ISBLANK(E17),ISBLANK(B18)),MAX(0,$C17/100-$AN17/2*TAN($AC$9)),0)</f>
        <v>0</v>
      </c>
      <c r="BC17" s="25">
        <f t="shared" ref="BC17:BC42" si="11">IF(OR(ISBLANK(E17),ISBLANK(B16)),MAX(0,$C17/100-$AN18/2*TAN($AC$9)),0)</f>
        <v>0.12588457268119893</v>
      </c>
      <c r="BD17" s="25">
        <f t="shared" ref="BD17:BD42" si="12">IF(OR(ISBLANK(E17),ISBLANK(B18)),$C17/100+$AN17/2*TAN($AC$9),0)</f>
        <v>0</v>
      </c>
      <c r="BE17" s="25">
        <f t="shared" ref="BE17:BE42" si="13">IF(OR(ISBLANK(E17),ISBLANK(B16)),$C17/100+$AN18/2*TAN($AC$9),0)</f>
        <v>0.17411542731880106</v>
      </c>
      <c r="BF17" s="25">
        <f t="shared" ref="BF17:BF42" si="14">IF(C17=0,0,IF(ISBLANK($B17),0,((BD17-BB17)*$AN17+(BE17-BC17)*$AN18)/(($AN17+$AN18)*4*SQRT(3)*$C17/100)))</f>
        <v>4.6410161513775507E-2</v>
      </c>
      <c r="BG17" s="25">
        <f t="shared" ref="BG17:BG42" si="15">IF(C17=0,0,IF(ISBLANK($B17),0,$I17*SQRT(BB17/$C17*100)))</f>
        <v>0</v>
      </c>
      <c r="BH17" s="25">
        <f t="shared" ref="BH17:BH42" si="16">IF(C17=0,0,IF(ISBLANK($B17),0,$I17*SQRT(BC17/$C17*100)))</f>
        <v>6.2583937588607114E-2</v>
      </c>
      <c r="BI17" s="25">
        <f t="shared" ref="BI17:BI42" si="17">IF(C17=0,0,IF(ISBLANK($B17),0,$I17*SQRT(BD17/$C17*100)))</f>
        <v>0</v>
      </c>
      <c r="BJ17" s="25">
        <f t="shared" ref="BJ17:BJ42" si="18">IF(C17=0,0,IF(ISBLANK($B17),0,$I17*SQRT(BE17/$C17*100)))</f>
        <v>7.360295584387852E-2</v>
      </c>
      <c r="BK17" s="25">
        <f>IF(I17=0,0,IF(ISBLANK($B17),0,((BI17-BG17)*$AN17+(BJ17-BH17)*$AN18)/(($AN17+$AN18)*4*SQRT(3)*$I17)))</f>
        <v>2.3280913928251833E-2</v>
      </c>
      <c r="BM17" s="25">
        <f>$AP17^2/$H$9^2*(BF17^2)</f>
        <v>1.8730338699858039E-7</v>
      </c>
      <c r="BN17" s="25">
        <f>$AP17^2/$H$9^2*(BK17^2)</f>
        <v>4.7132396394993475E-8</v>
      </c>
      <c r="BO17" s="25">
        <f>ATAN(ABS(C18-C17)/100/AN18)</f>
        <v>0.19204801724072992</v>
      </c>
      <c r="BP17" s="25">
        <f t="shared" ref="BP17:BP42" si="19">BO17*L17</f>
        <v>1.7711928684898404E-4</v>
      </c>
      <c r="BQ17" s="46">
        <f t="shared" ref="BQ17:BQ42" si="20">SUM(AV17:AZ17,BM17,BN17)</f>
        <v>1.912935324503322E-6</v>
      </c>
      <c r="BS17" s="122">
        <v>1</v>
      </c>
      <c r="BT17" s="122">
        <v>1</v>
      </c>
      <c r="BU17" s="154">
        <f>IF(ISNUMBER(BV17),IF(OR(ISBLANK(INDEX(B$17:B$43,BS17)),ISBLANK(INDEX(B$17:B$43,BT17))),INDEX(B$17:B$43,BS17),(INDEX(B$17:B$43,BS17)+INDEX(B$17:B$43,BT17))/2),BU16)</f>
        <v>1.88</v>
      </c>
      <c r="BV17" s="122">
        <f>INDEX(N$17:N$42,BS17)</f>
        <v>-0.15</v>
      </c>
    </row>
    <row r="18" spans="1:74" ht="36" customHeight="1" x14ac:dyDescent="0.45">
      <c r="A18" s="180">
        <v>2</v>
      </c>
      <c r="B18" s="181">
        <v>2.06</v>
      </c>
      <c r="C18" s="181">
        <v>18.5</v>
      </c>
      <c r="D18" s="181">
        <v>6</v>
      </c>
      <c r="E18" s="181"/>
      <c r="F18" s="181"/>
      <c r="H18" s="31">
        <f>IF(ISBLANK(B18),"",SQRT(2*9.81*D18/1000))</f>
        <v>0.34310348293189913</v>
      </c>
      <c r="I18" s="31">
        <f>IF(ISBLANK(B19),IF(ISBLANK(B18),"",(2*E18-1)*I17),MAX(0,$H$5*H18+$I$5))</f>
        <v>0.20092933255934736</v>
      </c>
      <c r="J18" s="32">
        <f t="shared" ref="J18:J31" si="21">IF(ISBLANK(B18),"",I18*C18/100)</f>
        <v>3.7171926523479261E-2</v>
      </c>
      <c r="K18" s="31">
        <f>IF(ISBLANK(B18),"",IF(ISBLANK(B19),ABS(B17-B18)/2*C18/100,ABS(B19-B17)/2*C18/100))</f>
        <v>2.6825000000000002E-2</v>
      </c>
      <c r="L18" s="151">
        <f t="shared" ref="L18:L30" si="22">IF(ISBLANK(B18),"",I18*K18)</f>
        <v>5.3899293459044933E-3</v>
      </c>
      <c r="M18" s="40">
        <f t="shared" ref="M18:M31" si="23">IF(ISBLANK(B18),0,L18/$H$9)</f>
        <v>5.4498780039479201E-2</v>
      </c>
      <c r="N18" s="2">
        <f t="shared" ref="N18:N31" si="24">IF(ISBLANK(B18),"",-C18/100)</f>
        <v>-0.185</v>
      </c>
      <c r="O18" s="39">
        <f>I18</f>
        <v>0.20092933255934736</v>
      </c>
      <c r="P18" s="38">
        <f t="shared" ref="P18:P41" si="25">(P$42-P$17)/25+P17</f>
        <v>1.8872</v>
      </c>
      <c r="Q18" s="38">
        <f t="shared" si="3"/>
        <v>4.1162877386811146E-2</v>
      </c>
      <c r="R18" s="38"/>
      <c r="S18" s="39">
        <f>LOOKUP(2,1/(D17:D42&lt;&gt;""),I17:I42)</f>
        <v>0.20092933255934736</v>
      </c>
      <c r="T18" s="38">
        <f t="shared" ref="T18:T41" si="26">(T$42-T$17)/25+T17</f>
        <v>3.5928</v>
      </c>
      <c r="U18" s="38">
        <f t="shared" si="4"/>
        <v>0.11897938296138279</v>
      </c>
      <c r="V18" s="38"/>
      <c r="W18" s="38">
        <f>IF(OR(B17="",B19=""),NA(),I18)</f>
        <v>0.20092933255934736</v>
      </c>
      <c r="X18" s="38"/>
      <c r="Y18" s="58">
        <f>P17</f>
        <v>1.88</v>
      </c>
      <c r="Z18" s="38">
        <f>C17</f>
        <v>15</v>
      </c>
      <c r="AA18" s="65">
        <f t="shared" si="5"/>
        <v>-0.15</v>
      </c>
      <c r="AB18" s="33"/>
      <c r="AC18" s="41">
        <f t="shared" ref="AC18:AC42" si="27">B18</f>
        <v>2.06</v>
      </c>
      <c r="AD18" s="6">
        <f t="shared" ref="AD18:AD42" si="28">IF(OR($M18&gt;0.1,$B18=""),NA(),I18)</f>
        <v>0.20092933255934736</v>
      </c>
      <c r="AE18" s="6" t="e">
        <f t="shared" ref="AE18:AE42" si="29">IF(AND($M18&gt;0.1,$M18&lt;0.15),I18,NA())</f>
        <v>#N/A</v>
      </c>
      <c r="AF18" s="6" t="e">
        <f t="shared" ref="AF18:AF42" si="30">IF($M18&lt;0.15,NA(),I18)</f>
        <v>#N/A</v>
      </c>
      <c r="AG18" s="43">
        <f t="shared" ref="AG18:AG42" si="31">IF($M18&gt;0.1,NA(),$M18)</f>
        <v>5.4498780039479201E-2</v>
      </c>
      <c r="AH18" s="43" t="e">
        <f t="shared" ref="AH18:AH42" si="32">IF(AND($M18&gt;0.1,$M18&lt;0.15),$M18,NA())</f>
        <v>#N/A</v>
      </c>
      <c r="AI18" s="43" t="e">
        <f t="shared" ref="AI18:AI42" si="33">IF($M18&lt;0.15,NA(),$M18)</f>
        <v>#N/A</v>
      </c>
      <c r="AJ18" s="125">
        <f>IF(D18="",AP18,0)</f>
        <v>0</v>
      </c>
      <c r="AL18" s="41">
        <f t="shared" si="6"/>
        <v>3.7171926523479261E-2</v>
      </c>
      <c r="AM18" s="41">
        <f>ABS(AL18-AL17)</f>
        <v>3.7171926523479261E-2</v>
      </c>
      <c r="AN18" s="41">
        <f>IF(ISBLANK(B18),0,ABS(B18-B17))</f>
        <v>0.18000000000000016</v>
      </c>
      <c r="AO18" s="41">
        <f>AM18*AN18</f>
        <v>6.6909467742262731E-3</v>
      </c>
      <c r="AP18" s="153">
        <f t="shared" ref="AP18:AP42" si="34">IF(ISNUMBER(L18),L18,0)</f>
        <v>5.3899293459044933E-3</v>
      </c>
      <c r="AQ18" s="41">
        <f>IF(AP18=0,0,$AA$4/IF(ISBLANK(B19),ABS(B18-B17)/2,ABS(B19-B17)/2))</f>
        <v>6.8965517241379309E-2</v>
      </c>
      <c r="AR18" s="41">
        <f>IF(AP18=0,0,IF(C18=0,0,$AA$5/C18*100))</f>
        <v>2.7027027027027029E-2</v>
      </c>
      <c r="AS18" s="41">
        <f>IF(AP18=0,0,IF(ISBLANK(D18),$AA$11/I17,$AA$11/I18))</f>
        <v>0</v>
      </c>
      <c r="AT18" s="45">
        <f t="shared" ref="AT18:AT42" si="35">IF(AP18=0,0,IF(ISBLANK(B19),SQRT($AA$6^2/4/(D17/1000)^2+$AA$7^2*D17/1000),IF(AP18=0,0,SQRT($AA$6^2/4/(D18/1000)^2+$AA$7^2*D18/1000))))</f>
        <v>8.3692559074534489E-2</v>
      </c>
      <c r="AU18" s="68">
        <f t="shared" ref="AU18:AU42" si="36">SUM(AV18:AZ18)</f>
        <v>3.7100168978511793E-5</v>
      </c>
      <c r="AV18" s="41">
        <f t="shared" si="7"/>
        <v>1.4126597031113134E-5</v>
      </c>
      <c r="AW18" s="41">
        <f t="shared" si="8"/>
        <v>2.1695522467432707E-6</v>
      </c>
      <c r="AX18" s="41">
        <f t="shared" si="9"/>
        <v>0</v>
      </c>
      <c r="AY18" s="41">
        <f t="shared" ref="AY18:AY42" si="37">AP18^2/$H$9^2*(AT18^2)</f>
        <v>2.0804019700655389E-5</v>
      </c>
      <c r="AZ18" s="11">
        <f>IF(AP18=0,0,IF(ISBLANK(B19),AP18^2/$H$9^2*($AA$8^2),0))</f>
        <v>0</v>
      </c>
      <c r="BA18" s="25">
        <f t="shared" ref="BA18:BA42" si="38">IF(C18=0,0,IF(ISBLANK(B18),0,IF(ISBLANK(E18),(AN18^2+AN19^2)*TAN($AA$9/180*PI())/(4*SQRT(3)*C18/100*(AN18+AN19)),AN18*TAN($AA$9/180*PI())/(4*SQRT(3)*C18/100))))</f>
        <v>3.2079095796256743E-2</v>
      </c>
      <c r="BB18" s="25">
        <f t="shared" si="10"/>
        <v>0.16088457268119893</v>
      </c>
      <c r="BC18" s="25">
        <f t="shared" si="11"/>
        <v>0.17026279441628828</v>
      </c>
      <c r="BD18" s="25">
        <f t="shared" si="12"/>
        <v>0.20911542731880106</v>
      </c>
      <c r="BE18" s="25">
        <f t="shared" si="13"/>
        <v>0.19973720558371172</v>
      </c>
      <c r="BF18" s="25">
        <f t="shared" si="14"/>
        <v>3.2079095796256736E-2</v>
      </c>
      <c r="BG18" s="25">
        <f t="shared" si="15"/>
        <v>0.18737630825079288</v>
      </c>
      <c r="BH18" s="25">
        <f t="shared" si="16"/>
        <v>0.19276019451493948</v>
      </c>
      <c r="BI18" s="25">
        <f t="shared" si="17"/>
        <v>0.21362423193962213</v>
      </c>
      <c r="BJ18" s="25">
        <f t="shared" si="18"/>
        <v>0.20877907169075235</v>
      </c>
      <c r="BK18" s="25">
        <f t="shared" ref="BK18:BK42" si="39">IF(I18=0,0,IF(C18=0,0,IF(ISBLANK($B18),0,((BI18-BG18)*$AN18+(BJ18-BH18)*$AN19)/(($AN18+$AN19)*4*SQRT(3)*$I18))))</f>
        <v>1.6068007991888671E-2</v>
      </c>
      <c r="BM18" s="25">
        <f t="shared" ref="BM18:BM42" si="40">$AP18^2/$H$9^2*(BF18^2)</f>
        <v>3.0564535372456343E-6</v>
      </c>
      <c r="BN18" s="25">
        <f t="shared" ref="BN18:BN42" si="41">$AP18^2/$H$9^2*(BK18^2)</f>
        <v>7.6682742987931124E-7</v>
      </c>
      <c r="BO18" s="25">
        <f>IF(ISBLANK($B18),NA(),IF(AN19=0,ATAN(ABS(C18-C17)/100/AN18),(ATAN(ABS(C18-C17)/100/AN18)+ATAN(ABS(C19-C18)/100/AN19))/2))</f>
        <v>0.16378786561311542</v>
      </c>
      <c r="BP18" s="25">
        <f t="shared" si="19"/>
        <v>8.8280502337119231E-4</v>
      </c>
      <c r="BQ18" s="46">
        <f t="shared" si="20"/>
        <v>4.092344994563674E-5</v>
      </c>
      <c r="BS18" s="155">
        <v>1</v>
      </c>
      <c r="BT18" s="155">
        <f>BS18+1</f>
        <v>2</v>
      </c>
      <c r="BU18" s="154">
        <f t="shared" ref="BU18:BU81" si="42">IF(ISNUMBER(BV18),IF(OR(ISBLANK(INDEX(B$17:B$43,BS18)),ISBLANK(INDEX(B$17:B$43,BT18))),INDEX(B$17:B$43,BS18),(INDEX(B$17:B$43,BS18)+INDEX(B$17:B$43,BT18))/2),BU17)</f>
        <v>1.97</v>
      </c>
      <c r="BV18" s="155">
        <f t="shared" ref="BV18:BV81" si="43">INDEX(N$17:N$42,BS18)</f>
        <v>-0.15</v>
      </c>
    </row>
    <row r="19" spans="1:74" ht="36" customHeight="1" x14ac:dyDescent="0.45">
      <c r="A19" s="178">
        <v>3</v>
      </c>
      <c r="B19" s="179">
        <v>2.17</v>
      </c>
      <c r="C19" s="179">
        <v>20</v>
      </c>
      <c r="D19" s="179">
        <v>6</v>
      </c>
      <c r="E19" s="179"/>
      <c r="F19" s="179"/>
      <c r="H19" s="31">
        <f t="shared" si="2"/>
        <v>0.34310348293189913</v>
      </c>
      <c r="I19" s="31">
        <f>IF(ISBLANK(B20),IF(ISBLANK(B19),"",(2*E19-1)*I18),MAX(0,$H$5*H19+$I$5))</f>
        <v>0.20092933255934736</v>
      </c>
      <c r="J19" s="32">
        <f t="shared" si="21"/>
        <v>4.0185866511869471E-2</v>
      </c>
      <c r="K19" s="31">
        <f t="shared" ref="K19:K31" si="44">IF(ISBLANK(B19),"",IF(ISBLANK(B20),ABS(B18-B19)/2*C19/100,ABS(B20-B18)/2*C19/100))</f>
        <v>2.0999999999999998E-2</v>
      </c>
      <c r="L19" s="151">
        <f t="shared" si="22"/>
        <v>4.2195159837462946E-3</v>
      </c>
      <c r="M19" s="40">
        <f t="shared" si="23"/>
        <v>4.2664468996423607E-2</v>
      </c>
      <c r="N19" s="2">
        <f t="shared" si="24"/>
        <v>-0.2</v>
      </c>
      <c r="O19" s="38"/>
      <c r="P19" s="38">
        <f t="shared" si="25"/>
        <v>1.8944000000000001</v>
      </c>
      <c r="Q19" s="38">
        <f t="shared" si="3"/>
        <v>5.7912755699491364E-2</v>
      </c>
      <c r="R19" s="38"/>
      <c r="S19" s="38"/>
      <c r="T19" s="38">
        <f t="shared" si="26"/>
        <v>3.5855999999999999</v>
      </c>
      <c r="U19" s="38">
        <f t="shared" si="4"/>
        <v>0.1331915261767091</v>
      </c>
      <c r="V19" s="38"/>
      <c r="W19" s="38">
        <f t="shared" ref="W19:W42" si="45">IF(OR(B18="",B20=""),NA(),I19)</f>
        <v>0.20092933255934736</v>
      </c>
      <c r="X19" s="38"/>
      <c r="Y19" s="58"/>
      <c r="Z19" s="38"/>
      <c r="AA19" s="65"/>
      <c r="AB19" s="33"/>
      <c r="AC19" s="41">
        <f t="shared" si="27"/>
        <v>2.17</v>
      </c>
      <c r="AD19" s="6">
        <f t="shared" si="28"/>
        <v>0.20092933255934736</v>
      </c>
      <c r="AE19" s="6" t="e">
        <f t="shared" si="29"/>
        <v>#N/A</v>
      </c>
      <c r="AF19" s="6" t="e">
        <f t="shared" si="30"/>
        <v>#N/A</v>
      </c>
      <c r="AG19" s="43">
        <f t="shared" si="31"/>
        <v>4.2664468996423607E-2</v>
      </c>
      <c r="AH19" s="43" t="e">
        <f t="shared" si="32"/>
        <v>#N/A</v>
      </c>
      <c r="AI19" s="43" t="e">
        <f t="shared" si="33"/>
        <v>#N/A</v>
      </c>
      <c r="AJ19" s="125">
        <f t="shared" ref="AJ19:AJ42" si="46">IF(D19="",AP19,0)</f>
        <v>0</v>
      </c>
      <c r="AL19" s="41">
        <f t="shared" si="6"/>
        <v>4.0185866511869471E-2</v>
      </c>
      <c r="AM19" s="41">
        <f t="shared" ref="AM19:AM42" si="47">ABS(AL19-AL18)</f>
        <v>3.0139399883902102E-3</v>
      </c>
      <c r="AN19" s="41">
        <f t="shared" ref="AN19:AN42" si="48">IF(ISBLANK(B19),0,ABS(B19-B18))</f>
        <v>0.10999999999999988</v>
      </c>
      <c r="AO19" s="41">
        <f t="shared" ref="AO19:AO42" si="49">AM19*AN19</f>
        <v>3.3153339872292275E-4</v>
      </c>
      <c r="AP19" s="153">
        <f t="shared" si="34"/>
        <v>4.2195159837462946E-3</v>
      </c>
      <c r="AQ19" s="41">
        <f t="shared" ref="AQ19:AQ42" si="50">IF(AP19=0,0,$AA$4/IF(ISBLANK(B20),ABS(B19-B18)/2,ABS(B20-B18)/2))</f>
        <v>9.5238095238095261E-2</v>
      </c>
      <c r="AR19" s="41">
        <f t="shared" ref="AR19:AR42" si="51">IF(AP19=0,0,IF(C19=0,0,$AA$5/C19*100))</f>
        <v>2.5000000000000001E-2</v>
      </c>
      <c r="AS19" s="41">
        <f t="shared" ref="AS19:AS42" si="52">IF(AP19=0,0,IF(ISBLANK(D19),$AA$11/I18,$AA$11/I19))</f>
        <v>0</v>
      </c>
      <c r="AT19" s="45">
        <f t="shared" si="35"/>
        <v>8.3692559074534489E-2</v>
      </c>
      <c r="AU19" s="68">
        <f t="shared" si="36"/>
        <v>3.0397815806100903E-5</v>
      </c>
      <c r="AV19" s="41">
        <f t="shared" si="7"/>
        <v>1.6510266800424414E-5</v>
      </c>
      <c r="AW19" s="41">
        <f t="shared" si="8"/>
        <v>1.1376605717167444E-6</v>
      </c>
      <c r="AX19" s="41">
        <f t="shared" si="9"/>
        <v>0</v>
      </c>
      <c r="AY19" s="41">
        <f t="shared" si="37"/>
        <v>1.2749888433959745E-5</v>
      </c>
      <c r="AZ19" s="11">
        <f t="shared" ref="AZ19:AZ42" si="53">IF(AP19=0,0,IF(ISBLANK(B20),AP19^2/$H$9^2*($AA$8^2),0))</f>
        <v>0</v>
      </c>
      <c r="BA19" s="25">
        <f t="shared" si="38"/>
        <v>2.0350487489175343E-2</v>
      </c>
      <c r="BB19" s="25">
        <f t="shared" si="10"/>
        <v>0.18526279441628829</v>
      </c>
      <c r="BC19" s="25">
        <f t="shared" si="11"/>
        <v>0.18660254037844387</v>
      </c>
      <c r="BD19" s="25">
        <f t="shared" si="12"/>
        <v>0.21473720558371173</v>
      </c>
      <c r="BE19" s="25">
        <f t="shared" si="13"/>
        <v>0.21339745962155615</v>
      </c>
      <c r="BF19" s="25">
        <f t="shared" si="14"/>
        <v>2.0350487489175333E-2</v>
      </c>
      <c r="BG19" s="25">
        <f t="shared" si="15"/>
        <v>0.19338485048326659</v>
      </c>
      <c r="BH19" s="25">
        <f t="shared" si="16"/>
        <v>0.19408283157809861</v>
      </c>
      <c r="BI19" s="25">
        <f t="shared" si="17"/>
        <v>0.20820060751365316</v>
      </c>
      <c r="BJ19" s="25">
        <f t="shared" si="18"/>
        <v>0.20755010925585426</v>
      </c>
      <c r="BK19" s="25">
        <f t="shared" si="39"/>
        <v>1.0181621481833016E-2</v>
      </c>
      <c r="BM19" s="25">
        <f t="shared" si="40"/>
        <v>7.5384545998037418E-7</v>
      </c>
      <c r="BN19" s="25">
        <f t="shared" si="41"/>
        <v>1.8869769029287128E-7</v>
      </c>
      <c r="BO19" s="25">
        <f t="shared" ref="BO19:BO42" si="54">IF(ISBLANK($B19),NA(),IF(AN20=0,ATAN(ABS(C19-C18)/100/AN19),(ATAN(ABS(C19-C18)/100/AN19)+ATAN(ABS(C20-C19)/100/AN20))/2))</f>
        <v>0.25801704554893273</v>
      </c>
      <c r="BP19" s="25">
        <f t="shared" si="19"/>
        <v>1.0887070477727174E-3</v>
      </c>
      <c r="BQ19" s="46">
        <f t="shared" si="20"/>
        <v>3.1340358956374154E-5</v>
      </c>
      <c r="BS19" s="155">
        <v>1</v>
      </c>
      <c r="BT19" s="155">
        <f>BT18</f>
        <v>2</v>
      </c>
      <c r="BU19" s="154">
        <f t="shared" si="42"/>
        <v>1.97</v>
      </c>
      <c r="BV19" s="155">
        <f>IF(ISBLANK(INDEX(B$17:B$42,BS19)),BV18,$BV$15)</f>
        <v>0</v>
      </c>
    </row>
    <row r="20" spans="1:74" ht="36" customHeight="1" x14ac:dyDescent="0.45">
      <c r="A20" s="180">
        <v>4</v>
      </c>
      <c r="B20" s="181">
        <v>2.27</v>
      </c>
      <c r="C20" s="181">
        <v>24</v>
      </c>
      <c r="D20" s="181">
        <v>13</v>
      </c>
      <c r="E20" s="181"/>
      <c r="F20" s="181"/>
      <c r="H20" s="31">
        <f t="shared" si="2"/>
        <v>0.50503465227645516</v>
      </c>
      <c r="I20" s="31">
        <f t="shared" ref="I20:I31" si="55">IF(ISBLANK(B21),IF(ISBLANK(B20),"",(2*E20-1)*I19),MAX(0,$H$5*H20+$I$5))</f>
        <v>0.30472721210920772</v>
      </c>
      <c r="J20" s="32">
        <f t="shared" si="21"/>
        <v>7.313453090620986E-2</v>
      </c>
      <c r="K20" s="31">
        <f t="shared" si="44"/>
        <v>2.5199999999999997E-2</v>
      </c>
      <c r="L20" s="151">
        <f t="shared" si="22"/>
        <v>7.679125745152034E-3</v>
      </c>
      <c r="M20" s="40">
        <f t="shared" si="23"/>
        <v>7.7645356371608021E-2</v>
      </c>
      <c r="N20" s="2">
        <f t="shared" si="24"/>
        <v>-0.24</v>
      </c>
      <c r="O20" s="38"/>
      <c r="P20" s="38">
        <f t="shared" si="25"/>
        <v>1.9016000000000002</v>
      </c>
      <c r="Q20" s="38">
        <f t="shared" si="3"/>
        <v>7.0714055718629404E-2</v>
      </c>
      <c r="R20" s="38"/>
      <c r="S20" s="38"/>
      <c r="T20" s="38">
        <f t="shared" si="26"/>
        <v>3.5783999999999998</v>
      </c>
      <c r="U20" s="38">
        <f t="shared" si="4"/>
        <v>0.14227959301461168</v>
      </c>
      <c r="V20" s="38"/>
      <c r="W20" s="38">
        <f t="shared" si="45"/>
        <v>0.30472721210920772</v>
      </c>
      <c r="X20" s="38"/>
      <c r="Y20" s="58">
        <f>T17</f>
        <v>3.6</v>
      </c>
      <c r="Z20" s="38">
        <v>0</v>
      </c>
      <c r="AA20" s="65">
        <f t="shared" si="5"/>
        <v>0</v>
      </c>
      <c r="AB20" s="33"/>
      <c r="AC20" s="41">
        <f t="shared" si="27"/>
        <v>2.27</v>
      </c>
      <c r="AD20" s="6">
        <f t="shared" si="28"/>
        <v>0.30472721210920772</v>
      </c>
      <c r="AE20" s="6" t="e">
        <f t="shared" si="29"/>
        <v>#N/A</v>
      </c>
      <c r="AF20" s="6" t="e">
        <f t="shared" si="30"/>
        <v>#N/A</v>
      </c>
      <c r="AG20" s="43">
        <f t="shared" si="31"/>
        <v>7.7645356371608021E-2</v>
      </c>
      <c r="AH20" s="43" t="e">
        <f t="shared" si="32"/>
        <v>#N/A</v>
      </c>
      <c r="AI20" s="43" t="e">
        <f t="shared" si="33"/>
        <v>#N/A</v>
      </c>
      <c r="AJ20" s="125">
        <f t="shared" si="46"/>
        <v>0</v>
      </c>
      <c r="AL20" s="41">
        <f t="shared" si="6"/>
        <v>7.313453090620986E-2</v>
      </c>
      <c r="AM20" s="41">
        <f t="shared" si="47"/>
        <v>3.2948664394340389E-2</v>
      </c>
      <c r="AN20" s="41">
        <f t="shared" si="48"/>
        <v>0.10000000000000009</v>
      </c>
      <c r="AO20" s="41">
        <f t="shared" si="49"/>
        <v>3.2948664394340417E-3</v>
      </c>
      <c r="AP20" s="153">
        <f t="shared" si="34"/>
        <v>7.679125745152034E-3</v>
      </c>
      <c r="AQ20" s="41">
        <f t="shared" si="50"/>
        <v>9.5238095238095261E-2</v>
      </c>
      <c r="AR20" s="41">
        <f t="shared" si="51"/>
        <v>2.0833333333333336E-2</v>
      </c>
      <c r="AS20" s="41">
        <f t="shared" si="52"/>
        <v>0</v>
      </c>
      <c r="AT20" s="45">
        <f t="shared" si="35"/>
        <v>4.0115956187387614E-2</v>
      </c>
      <c r="AU20" s="68">
        <f t="shared" si="36"/>
        <v>6.7001762241229097E-5</v>
      </c>
      <c r="AV20" s="41">
        <f t="shared" si="7"/>
        <v>5.468300558797292E-5</v>
      </c>
      <c r="AW20" s="41">
        <f t="shared" si="8"/>
        <v>2.6166672595807349E-6</v>
      </c>
      <c r="AX20" s="41">
        <f t="shared" si="9"/>
        <v>0</v>
      </c>
      <c r="AY20" s="41">
        <f t="shared" si="37"/>
        <v>9.7020893936754383E-6</v>
      </c>
      <c r="AZ20" s="11">
        <f t="shared" si="53"/>
        <v>0</v>
      </c>
      <c r="BA20" s="25">
        <f t="shared" si="38"/>
        <v>1.6958739574312785E-2</v>
      </c>
      <c r="BB20" s="25">
        <f t="shared" si="10"/>
        <v>0.22660254037844385</v>
      </c>
      <c r="BC20" s="25">
        <f t="shared" si="11"/>
        <v>0.22526279441628827</v>
      </c>
      <c r="BD20" s="25">
        <f t="shared" si="12"/>
        <v>0.25339745962155613</v>
      </c>
      <c r="BE20" s="25">
        <f t="shared" si="13"/>
        <v>0.25473720558371171</v>
      </c>
      <c r="BF20" s="25">
        <f t="shared" si="14"/>
        <v>1.6958739574312778E-2</v>
      </c>
      <c r="BG20" s="25">
        <f t="shared" si="15"/>
        <v>0.29609972545312102</v>
      </c>
      <c r="BH20" s="25">
        <f t="shared" si="16"/>
        <v>0.2952231101637709</v>
      </c>
      <c r="BI20" s="25">
        <f t="shared" si="17"/>
        <v>0.31311707105535863</v>
      </c>
      <c r="BJ20" s="25">
        <f t="shared" si="18"/>
        <v>0.31394372557025269</v>
      </c>
      <c r="BK20" s="25">
        <f t="shared" si="39"/>
        <v>8.4830581098950444E-3</v>
      </c>
      <c r="BM20" s="25">
        <f t="shared" si="40"/>
        <v>1.7338763273984276E-6</v>
      </c>
      <c r="BN20" s="25">
        <f t="shared" si="41"/>
        <v>4.3384626119793066E-7</v>
      </c>
      <c r="BO20" s="25">
        <f t="shared" si="54"/>
        <v>0.43992654939624753</v>
      </c>
      <c r="BP20" s="25">
        <f t="shared" si="19"/>
        <v>3.3782512914446224E-3</v>
      </c>
      <c r="BQ20" s="46">
        <f t="shared" si="20"/>
        <v>6.9169484829825458E-5</v>
      </c>
      <c r="BS20" s="155">
        <v>2</v>
      </c>
      <c r="BT20" s="155">
        <f>BT18-1</f>
        <v>1</v>
      </c>
      <c r="BU20" s="154">
        <f t="shared" si="42"/>
        <v>1.97</v>
      </c>
      <c r="BV20" s="155">
        <f>INDEX(N$17:N$42,BS20)</f>
        <v>-0.185</v>
      </c>
    </row>
    <row r="21" spans="1:74" ht="36" customHeight="1" x14ac:dyDescent="0.45">
      <c r="A21" s="178">
        <v>5</v>
      </c>
      <c r="B21" s="179">
        <v>2.38</v>
      </c>
      <c r="C21" s="179">
        <v>30</v>
      </c>
      <c r="D21" s="179">
        <v>8</v>
      </c>
      <c r="E21" s="179"/>
      <c r="F21" s="179"/>
      <c r="H21" s="31">
        <f t="shared" si="2"/>
        <v>0.39618177646126029</v>
      </c>
      <c r="I21" s="31">
        <f t="shared" si="55"/>
        <v>0.23495251871166786</v>
      </c>
      <c r="J21" s="32">
        <f t="shared" si="21"/>
        <v>7.0485755613500359E-2</v>
      </c>
      <c r="K21" s="31">
        <f t="shared" si="44"/>
        <v>3.3000000000000029E-2</v>
      </c>
      <c r="L21" s="151">
        <f t="shared" si="22"/>
        <v>7.7534331174850465E-3</v>
      </c>
      <c r="M21" s="40">
        <f t="shared" si="23"/>
        <v>7.8396694817846779E-2</v>
      </c>
      <c r="N21" s="2">
        <f t="shared" si="24"/>
        <v>-0.3</v>
      </c>
      <c r="O21" s="38"/>
      <c r="P21" s="38">
        <f t="shared" si="25"/>
        <v>1.9088000000000003</v>
      </c>
      <c r="Q21" s="38">
        <f t="shared" si="3"/>
        <v>8.147844576539677E-2</v>
      </c>
      <c r="R21" s="38"/>
      <c r="S21" s="38"/>
      <c r="T21" s="38">
        <f t="shared" si="26"/>
        <v>3.5711999999999997</v>
      </c>
      <c r="U21" s="38">
        <f t="shared" si="4"/>
        <v>0.14910131657884682</v>
      </c>
      <c r="V21" s="38"/>
      <c r="W21" s="38">
        <f t="shared" si="45"/>
        <v>0.23495251871166786</v>
      </c>
      <c r="X21" s="38"/>
      <c r="Y21" s="58">
        <f>T17</f>
        <v>3.6</v>
      </c>
      <c r="Z21" s="38">
        <f>LOOKUP(2,1/(B17:B42&lt;&gt;""),C17:C42)</f>
        <v>12</v>
      </c>
      <c r="AA21" s="65">
        <f>-Z21/100</f>
        <v>-0.12</v>
      </c>
      <c r="AB21" s="33"/>
      <c r="AC21" s="41">
        <f t="shared" si="27"/>
        <v>2.38</v>
      </c>
      <c r="AD21" s="6">
        <f t="shared" si="28"/>
        <v>0.23495251871166786</v>
      </c>
      <c r="AE21" s="6" t="e">
        <f t="shared" si="29"/>
        <v>#N/A</v>
      </c>
      <c r="AF21" s="6" t="e">
        <f t="shared" si="30"/>
        <v>#N/A</v>
      </c>
      <c r="AG21" s="43">
        <f t="shared" si="31"/>
        <v>7.8396694817846779E-2</v>
      </c>
      <c r="AH21" s="43" t="e">
        <f t="shared" si="32"/>
        <v>#N/A</v>
      </c>
      <c r="AI21" s="43" t="e">
        <f t="shared" si="33"/>
        <v>#N/A</v>
      </c>
      <c r="AJ21" s="125">
        <f t="shared" si="46"/>
        <v>0</v>
      </c>
      <c r="AL21" s="41">
        <f t="shared" si="6"/>
        <v>7.0485755613500359E-2</v>
      </c>
      <c r="AM21" s="41">
        <f t="shared" si="47"/>
        <v>2.6487752927095015E-3</v>
      </c>
      <c r="AN21" s="41">
        <f t="shared" si="48"/>
        <v>0.10999999999999988</v>
      </c>
      <c r="AO21" s="41">
        <f t="shared" si="49"/>
        <v>2.9136528219804485E-4</v>
      </c>
      <c r="AP21" s="153">
        <f t="shared" si="34"/>
        <v>7.7534331174850465E-3</v>
      </c>
      <c r="AQ21" s="41">
        <f t="shared" si="50"/>
        <v>9.0909090909090828E-2</v>
      </c>
      <c r="AR21" s="41">
        <f t="shared" si="51"/>
        <v>1.6666666666666666E-2</v>
      </c>
      <c r="AS21" s="41">
        <f t="shared" si="52"/>
        <v>0</v>
      </c>
      <c r="AT21" s="45">
        <f t="shared" si="35"/>
        <v>6.3136756330999452E-2</v>
      </c>
      <c r="AU21" s="68">
        <f t="shared" si="36"/>
        <v>7.7000626321227034E-5</v>
      </c>
      <c r="AV21" s="41">
        <f t="shared" si="7"/>
        <v>5.0793733540186715E-5</v>
      </c>
      <c r="AW21" s="41">
        <f t="shared" si="8"/>
        <v>1.7072338217673899E-6</v>
      </c>
      <c r="AX21" s="41">
        <f t="shared" si="9"/>
        <v>0</v>
      </c>
      <c r="AY21" s="41">
        <f t="shared" si="37"/>
        <v>2.4499658959272928E-5</v>
      </c>
      <c r="AZ21" s="11">
        <f t="shared" si="53"/>
        <v>0</v>
      </c>
      <c r="BA21" s="25">
        <f t="shared" si="38"/>
        <v>1.4180882684764735E-2</v>
      </c>
      <c r="BB21" s="25">
        <f t="shared" si="10"/>
        <v>0.28526279441628827</v>
      </c>
      <c r="BC21" s="25">
        <f t="shared" si="11"/>
        <v>0.28526279441628821</v>
      </c>
      <c r="BD21" s="25">
        <f t="shared" si="12"/>
        <v>0.31473720558371171</v>
      </c>
      <c r="BE21" s="25">
        <f t="shared" si="13"/>
        <v>0.31473720558371177</v>
      </c>
      <c r="BF21" s="25">
        <f t="shared" si="14"/>
        <v>1.4180882684764723E-2</v>
      </c>
      <c r="BG21" s="25">
        <f t="shared" si="15"/>
        <v>0.22910894411182367</v>
      </c>
      <c r="BH21" s="25">
        <f t="shared" si="16"/>
        <v>0.22910894411182364</v>
      </c>
      <c r="BI21" s="25">
        <f t="shared" si="17"/>
        <v>0.24065424123808521</v>
      </c>
      <c r="BJ21" s="25">
        <f t="shared" si="18"/>
        <v>0.24065424123808526</v>
      </c>
      <c r="BK21" s="25">
        <f t="shared" si="39"/>
        <v>7.0925824080028434E-3</v>
      </c>
      <c r="BM21" s="25">
        <f t="shared" si="40"/>
        <v>1.2359532251368983E-6</v>
      </c>
      <c r="BN21" s="25">
        <f t="shared" si="41"/>
        <v>3.0917494181011415E-7</v>
      </c>
      <c r="BO21" s="25">
        <f t="shared" si="54"/>
        <v>0.4438327199262978</v>
      </c>
      <c r="BP21" s="25">
        <f t="shared" si="19"/>
        <v>3.4412273093000229E-3</v>
      </c>
      <c r="BQ21" s="46">
        <f t="shared" si="20"/>
        <v>7.8545754488174046E-5</v>
      </c>
      <c r="BS21" s="122">
        <f>BS18+1</f>
        <v>2</v>
      </c>
      <c r="BT21" s="122">
        <f>BT18+1</f>
        <v>3</v>
      </c>
      <c r="BU21" s="154">
        <f t="shared" si="42"/>
        <v>2.1150000000000002</v>
      </c>
      <c r="BV21" s="155">
        <f t="shared" si="43"/>
        <v>-0.185</v>
      </c>
    </row>
    <row r="22" spans="1:74" ht="36" customHeight="1" x14ac:dyDescent="0.45">
      <c r="A22" s="180">
        <v>6</v>
      </c>
      <c r="B22" s="181">
        <v>2.4900000000000002</v>
      </c>
      <c r="C22" s="181">
        <v>34.5</v>
      </c>
      <c r="D22" s="181">
        <v>9</v>
      </c>
      <c r="E22" s="181"/>
      <c r="F22" s="181"/>
      <c r="H22" s="31">
        <f t="shared" si="2"/>
        <v>0.42021423107743511</v>
      </c>
      <c r="I22" s="31">
        <f t="shared" si="55"/>
        <v>0.25035732212063588</v>
      </c>
      <c r="J22" s="32">
        <f t="shared" si="21"/>
        <v>8.6373276131619381E-2</v>
      </c>
      <c r="K22" s="31">
        <f t="shared" si="44"/>
        <v>3.7950000000000032E-2</v>
      </c>
      <c r="L22" s="151">
        <f t="shared" si="22"/>
        <v>9.5010603744781399E-3</v>
      </c>
      <c r="M22" s="40">
        <f t="shared" si="23"/>
        <v>9.6067344534662688E-2</v>
      </c>
      <c r="N22" s="2">
        <f t="shared" si="24"/>
        <v>-0.34499999999999997</v>
      </c>
      <c r="O22" s="38"/>
      <c r="P22" s="38">
        <f t="shared" si="25"/>
        <v>1.9160000000000004</v>
      </c>
      <c r="Q22" s="38">
        <f t="shared" si="3"/>
        <v>9.0944100850765847E-2</v>
      </c>
      <c r="R22" s="38"/>
      <c r="S22" s="38"/>
      <c r="T22" s="38">
        <f t="shared" si="26"/>
        <v>3.5639999999999996</v>
      </c>
      <c r="U22" s="38">
        <f t="shared" si="4"/>
        <v>0.1546171012752266</v>
      </c>
      <c r="V22" s="38"/>
      <c r="W22" s="38">
        <f t="shared" si="45"/>
        <v>0.25035732212063588</v>
      </c>
      <c r="X22" s="38"/>
      <c r="Y22" s="58"/>
      <c r="Z22" s="38"/>
      <c r="AA22" s="65"/>
      <c r="AB22" s="33"/>
      <c r="AC22" s="41">
        <f t="shared" si="27"/>
        <v>2.4900000000000002</v>
      </c>
      <c r="AD22" s="6">
        <f t="shared" si="28"/>
        <v>0.25035732212063588</v>
      </c>
      <c r="AE22" s="6" t="e">
        <f t="shared" si="29"/>
        <v>#N/A</v>
      </c>
      <c r="AF22" s="6" t="e">
        <f t="shared" si="30"/>
        <v>#N/A</v>
      </c>
      <c r="AG22" s="43">
        <f t="shared" si="31"/>
        <v>9.6067344534662688E-2</v>
      </c>
      <c r="AH22" s="43" t="e">
        <f t="shared" si="32"/>
        <v>#N/A</v>
      </c>
      <c r="AI22" s="43" t="e">
        <f t="shared" si="33"/>
        <v>#N/A</v>
      </c>
      <c r="AJ22" s="125">
        <f t="shared" si="46"/>
        <v>0</v>
      </c>
      <c r="AL22" s="41">
        <f t="shared" si="6"/>
        <v>8.6373276131619381E-2</v>
      </c>
      <c r="AM22" s="41">
        <f t="shared" si="47"/>
        <v>1.5887520518119022E-2</v>
      </c>
      <c r="AN22" s="41">
        <f t="shared" si="48"/>
        <v>0.11000000000000032</v>
      </c>
      <c r="AO22" s="41">
        <f t="shared" si="49"/>
        <v>1.7476272569930975E-3</v>
      </c>
      <c r="AP22" s="153">
        <f t="shared" si="34"/>
        <v>9.5010603744781399E-3</v>
      </c>
      <c r="AQ22" s="41">
        <f t="shared" si="50"/>
        <v>9.0909090909090828E-2</v>
      </c>
      <c r="AR22" s="41">
        <f t="shared" si="51"/>
        <v>1.4492753623188406E-2</v>
      </c>
      <c r="AS22" s="41">
        <f t="shared" si="52"/>
        <v>0</v>
      </c>
      <c r="AT22" s="45">
        <f t="shared" si="35"/>
        <v>5.6359735211287322E-2</v>
      </c>
      <c r="AU22" s="68">
        <f t="shared" si="36"/>
        <v>1.075256025120092E-4</v>
      </c>
      <c r="AV22" s="41">
        <f t="shared" si="7"/>
        <v>7.6272187487120383E-5</v>
      </c>
      <c r="AW22" s="41">
        <f t="shared" si="8"/>
        <v>1.9384445885195517E-6</v>
      </c>
      <c r="AX22" s="41">
        <f t="shared" si="9"/>
        <v>0</v>
      </c>
      <c r="AY22" s="41">
        <f t="shared" si="37"/>
        <v>2.9314970436369261E-5</v>
      </c>
      <c r="AZ22" s="11">
        <f t="shared" si="53"/>
        <v>0</v>
      </c>
      <c r="BA22" s="25">
        <f t="shared" si="38"/>
        <v>1.2331202334578031E-2</v>
      </c>
      <c r="BB22" s="25">
        <f t="shared" si="10"/>
        <v>0.3302627944162882</v>
      </c>
      <c r="BC22" s="25">
        <f t="shared" si="11"/>
        <v>0.33026279441628825</v>
      </c>
      <c r="BD22" s="25">
        <f t="shared" si="12"/>
        <v>0.35973720558371175</v>
      </c>
      <c r="BE22" s="25">
        <f t="shared" si="13"/>
        <v>0.35973720558371169</v>
      </c>
      <c r="BF22" s="25">
        <f t="shared" si="14"/>
        <v>1.2331202334578021E-2</v>
      </c>
      <c r="BG22" s="25">
        <f t="shared" si="15"/>
        <v>0.24495176644231531</v>
      </c>
      <c r="BH22" s="25">
        <f t="shared" si="16"/>
        <v>0.24495176644231534</v>
      </c>
      <c r="BI22" s="25">
        <f t="shared" si="17"/>
        <v>0.2556486056985664</v>
      </c>
      <c r="BJ22" s="25">
        <f t="shared" si="18"/>
        <v>0.2556486056985664</v>
      </c>
      <c r="BK22" s="25">
        <f t="shared" si="39"/>
        <v>6.1670085897256727E-3</v>
      </c>
      <c r="BM22" s="25">
        <f t="shared" si="40"/>
        <v>1.4033384357683715E-6</v>
      </c>
      <c r="BN22" s="25">
        <f t="shared" si="41"/>
        <v>3.5099479733038931E-7</v>
      </c>
      <c r="BO22" s="25">
        <f t="shared" si="54"/>
        <v>0.1941593590862325</v>
      </c>
      <c r="BP22" s="25">
        <f t="shared" si="19"/>
        <v>1.8447197929482757E-3</v>
      </c>
      <c r="BQ22" s="46">
        <f t="shared" si="20"/>
        <v>1.0927993574510795E-4</v>
      </c>
      <c r="BS22" s="122">
        <f t="shared" ref="BS22:BT22" si="56">BS19+1</f>
        <v>2</v>
      </c>
      <c r="BT22" s="122">
        <f t="shared" si="56"/>
        <v>3</v>
      </c>
      <c r="BU22" s="154">
        <f t="shared" si="42"/>
        <v>2.1150000000000002</v>
      </c>
      <c r="BV22" s="155">
        <f t="shared" ref="BV22" si="57">IF(ISBLANK(INDEX(B$17:B$42,BS22)),BV21,$BV$15)</f>
        <v>0</v>
      </c>
    </row>
    <row r="23" spans="1:74" ht="36" customHeight="1" x14ac:dyDescent="0.45">
      <c r="A23" s="178">
        <v>7</v>
      </c>
      <c r="B23" s="179">
        <v>2.6</v>
      </c>
      <c r="C23" s="179">
        <v>34.5</v>
      </c>
      <c r="D23" s="179">
        <v>3</v>
      </c>
      <c r="E23" s="179"/>
      <c r="F23" s="179"/>
      <c r="H23" s="31">
        <f t="shared" si="2"/>
        <v>0.24261079942986874</v>
      </c>
      <c r="I23" s="31">
        <f t="shared" si="55"/>
        <v>0.13651352243454587</v>
      </c>
      <c r="J23" s="32">
        <f t="shared" si="21"/>
        <v>4.7097165239918325E-2</v>
      </c>
      <c r="K23" s="31">
        <f t="shared" si="44"/>
        <v>3.7949999999999956E-2</v>
      </c>
      <c r="L23" s="151">
        <f t="shared" si="22"/>
        <v>5.1806881763910096E-3</v>
      </c>
      <c r="M23" s="40">
        <f t="shared" si="23"/>
        <v>5.2383095817907073E-2</v>
      </c>
      <c r="N23" s="2">
        <f t="shared" si="24"/>
        <v>-0.34499999999999997</v>
      </c>
      <c r="O23" s="38"/>
      <c r="P23" s="38">
        <f t="shared" si="25"/>
        <v>1.9232000000000005</v>
      </c>
      <c r="Q23" s="38">
        <f t="shared" si="3"/>
        <v>9.9488813545997326E-2</v>
      </c>
      <c r="R23" s="38"/>
      <c r="S23" s="38"/>
      <c r="T23" s="38">
        <f t="shared" si="26"/>
        <v>3.5567999999999995</v>
      </c>
      <c r="U23" s="38">
        <f t="shared" si="4"/>
        <v>0.15927495727194954</v>
      </c>
      <c r="V23" s="38"/>
      <c r="W23" s="38">
        <f t="shared" si="45"/>
        <v>0.13651352243454587</v>
      </c>
      <c r="X23" s="38"/>
      <c r="AA23" s="65"/>
      <c r="AB23" s="33"/>
      <c r="AC23" s="41">
        <f t="shared" si="27"/>
        <v>2.6</v>
      </c>
      <c r="AD23" s="6">
        <f t="shared" si="28"/>
        <v>0.13651352243454587</v>
      </c>
      <c r="AE23" s="6" t="e">
        <f t="shared" si="29"/>
        <v>#N/A</v>
      </c>
      <c r="AF23" s="6" t="e">
        <f t="shared" si="30"/>
        <v>#N/A</v>
      </c>
      <c r="AG23" s="43">
        <f t="shared" si="31"/>
        <v>5.2383095817907073E-2</v>
      </c>
      <c r="AH23" s="43" t="e">
        <f t="shared" si="32"/>
        <v>#N/A</v>
      </c>
      <c r="AI23" s="43" t="e">
        <f t="shared" si="33"/>
        <v>#N/A</v>
      </c>
      <c r="AJ23" s="125">
        <f t="shared" si="46"/>
        <v>0</v>
      </c>
      <c r="AL23" s="41">
        <f t="shared" si="6"/>
        <v>4.7097165239918325E-2</v>
      </c>
      <c r="AM23" s="41">
        <f t="shared" si="47"/>
        <v>3.9276110891701056E-2</v>
      </c>
      <c r="AN23" s="41">
        <f t="shared" si="48"/>
        <v>0.10999999999999988</v>
      </c>
      <c r="AO23" s="41">
        <f t="shared" si="49"/>
        <v>4.3203721980871112E-3</v>
      </c>
      <c r="AP23" s="153">
        <f t="shared" si="34"/>
        <v>5.1806881763910096E-3</v>
      </c>
      <c r="AQ23" s="41">
        <f t="shared" si="50"/>
        <v>9.0909090909091009E-2</v>
      </c>
      <c r="AR23" s="41">
        <f t="shared" si="51"/>
        <v>1.4492753623188406E-2</v>
      </c>
      <c r="AS23" s="41">
        <f t="shared" si="52"/>
        <v>0</v>
      </c>
      <c r="AT23" s="45">
        <f t="shared" si="35"/>
        <v>0.1667566423797798</v>
      </c>
      <c r="AU23" s="68">
        <f t="shared" si="36"/>
        <v>9.9558168685874986E-5</v>
      </c>
      <c r="AV23" s="41">
        <f t="shared" si="7"/>
        <v>2.267759278899206E-5</v>
      </c>
      <c r="AW23" s="41">
        <f t="shared" si="8"/>
        <v>5.7634713872464472E-7</v>
      </c>
      <c r="AX23" s="41">
        <f t="shared" si="9"/>
        <v>0</v>
      </c>
      <c r="AY23" s="41">
        <f t="shared" si="37"/>
        <v>7.6304228758158283E-5</v>
      </c>
      <c r="AZ23" s="11">
        <f t="shared" si="53"/>
        <v>0</v>
      </c>
      <c r="BA23" s="25">
        <f t="shared" si="38"/>
        <v>1.2331202334578005E-2</v>
      </c>
      <c r="BB23" s="25">
        <f t="shared" si="10"/>
        <v>0.33026279441628825</v>
      </c>
      <c r="BC23" s="25">
        <f t="shared" si="11"/>
        <v>0.33026279441628825</v>
      </c>
      <c r="BD23" s="25">
        <f t="shared" si="12"/>
        <v>0.35973720558371169</v>
      </c>
      <c r="BE23" s="25">
        <f t="shared" si="13"/>
        <v>0.35973720558371169</v>
      </c>
      <c r="BF23" s="25">
        <f t="shared" si="14"/>
        <v>1.2331202334577998E-2</v>
      </c>
      <c r="BG23" s="25">
        <f t="shared" si="15"/>
        <v>0.13356600949538755</v>
      </c>
      <c r="BH23" s="25">
        <f t="shared" si="16"/>
        <v>0.13356600949538755</v>
      </c>
      <c r="BI23" s="25">
        <f t="shared" si="17"/>
        <v>0.1393987256844644</v>
      </c>
      <c r="BJ23" s="25">
        <f t="shared" si="18"/>
        <v>0.1393987256844644</v>
      </c>
      <c r="BK23" s="25">
        <f t="shared" si="39"/>
        <v>6.1670085897256692E-3</v>
      </c>
      <c r="BM23" s="25">
        <f t="shared" si="40"/>
        <v>4.172469499038552E-7</v>
      </c>
      <c r="BN23" s="25">
        <f t="shared" si="41"/>
        <v>1.0435936541425973E-7</v>
      </c>
      <c r="BO23" s="25">
        <f t="shared" si="54"/>
        <v>4.5329943600372603E-2</v>
      </c>
      <c r="BP23" s="25">
        <f t="shared" si="19"/>
        <v>2.3484030284692166E-4</v>
      </c>
      <c r="BQ23" s="46">
        <f t="shared" si="20"/>
        <v>1.0007977500119309E-4</v>
      </c>
      <c r="BS23" s="122">
        <f>BS20+1</f>
        <v>3</v>
      </c>
      <c r="BT23" s="122">
        <f>BT20+1</f>
        <v>2</v>
      </c>
      <c r="BU23" s="154">
        <f t="shared" si="42"/>
        <v>2.1150000000000002</v>
      </c>
      <c r="BV23" s="155">
        <f t="shared" ref="BV23" si="58">INDEX(N$17:N$42,BS23)</f>
        <v>-0.2</v>
      </c>
    </row>
    <row r="24" spans="1:74" ht="36" customHeight="1" x14ac:dyDescent="0.45">
      <c r="A24" s="180">
        <v>8</v>
      </c>
      <c r="B24" s="181">
        <v>2.71</v>
      </c>
      <c r="C24" s="182">
        <v>33.5</v>
      </c>
      <c r="D24" s="182">
        <v>6</v>
      </c>
      <c r="E24" s="182"/>
      <c r="F24" s="182"/>
      <c r="H24" s="31">
        <f t="shared" si="2"/>
        <v>0.34310348293189913</v>
      </c>
      <c r="I24" s="31">
        <f t="shared" si="55"/>
        <v>0.20092933255934736</v>
      </c>
      <c r="J24" s="32">
        <f t="shared" si="21"/>
        <v>6.7311326407381369E-2</v>
      </c>
      <c r="K24" s="31">
        <f t="shared" si="44"/>
        <v>3.6849999999999959E-2</v>
      </c>
      <c r="L24" s="151">
        <f t="shared" si="22"/>
        <v>7.4042459048119418E-3</v>
      </c>
      <c r="M24" s="40">
        <f t="shared" si="23"/>
        <v>7.4865984881819433E-2</v>
      </c>
      <c r="N24" s="2">
        <f t="shared" si="24"/>
        <v>-0.33500000000000002</v>
      </c>
      <c r="O24" s="38"/>
      <c r="P24" s="38">
        <f t="shared" si="25"/>
        <v>1.9304000000000006</v>
      </c>
      <c r="Q24" s="38">
        <f t="shared" si="3"/>
        <v>0.10733665170201175</v>
      </c>
      <c r="R24" s="38"/>
      <c r="S24" s="38"/>
      <c r="T24" s="38">
        <f t="shared" si="26"/>
        <v>3.5495999999999994</v>
      </c>
      <c r="U24" s="38">
        <f t="shared" si="4"/>
        <v>0.16332242205377362</v>
      </c>
      <c r="V24" s="38"/>
      <c r="W24" s="38">
        <f t="shared" si="45"/>
        <v>0.20092933255934736</v>
      </c>
      <c r="X24" s="38"/>
      <c r="AA24" s="65"/>
      <c r="AB24" s="33"/>
      <c r="AC24" s="41">
        <f t="shared" si="27"/>
        <v>2.71</v>
      </c>
      <c r="AD24" s="6">
        <f t="shared" si="28"/>
        <v>0.20092933255934736</v>
      </c>
      <c r="AE24" s="6" t="e">
        <f t="shared" si="29"/>
        <v>#N/A</v>
      </c>
      <c r="AF24" s="6" t="e">
        <f t="shared" si="30"/>
        <v>#N/A</v>
      </c>
      <c r="AG24" s="43">
        <f t="shared" si="31"/>
        <v>7.4865984881819433E-2</v>
      </c>
      <c r="AH24" s="43" t="e">
        <f t="shared" si="32"/>
        <v>#N/A</v>
      </c>
      <c r="AI24" s="43" t="e">
        <f t="shared" si="33"/>
        <v>#N/A</v>
      </c>
      <c r="AJ24" s="125">
        <f t="shared" si="46"/>
        <v>0</v>
      </c>
      <c r="AL24" s="41">
        <f t="shared" si="6"/>
        <v>6.7311326407381369E-2</v>
      </c>
      <c r="AM24" s="41">
        <f t="shared" si="47"/>
        <v>2.0214161167463045E-2</v>
      </c>
      <c r="AN24" s="41">
        <f t="shared" si="48"/>
        <v>0.10999999999999988</v>
      </c>
      <c r="AO24" s="41">
        <f t="shared" si="49"/>
        <v>2.2235577284209322E-3</v>
      </c>
      <c r="AP24" s="153">
        <f t="shared" si="34"/>
        <v>7.4042459048119418E-3</v>
      </c>
      <c r="AQ24" s="41">
        <f t="shared" si="50"/>
        <v>9.0909090909091009E-2</v>
      </c>
      <c r="AR24" s="41">
        <f t="shared" si="51"/>
        <v>1.4925373134328358E-2</v>
      </c>
      <c r="AS24" s="41">
        <f t="shared" si="52"/>
        <v>0</v>
      </c>
      <c r="AT24" s="45">
        <f t="shared" si="35"/>
        <v>8.3692559074534489E-2</v>
      </c>
      <c r="AU24" s="68">
        <f t="shared" si="36"/>
        <v>8.6829526801406878E-5</v>
      </c>
      <c r="AV24" s="41">
        <f t="shared" si="7"/>
        <v>4.6321617291940727E-5</v>
      </c>
      <c r="AW24" s="41">
        <f t="shared" si="8"/>
        <v>1.2485889267820929E-6</v>
      </c>
      <c r="AX24" s="41">
        <f t="shared" si="9"/>
        <v>0</v>
      </c>
      <c r="AY24" s="41">
        <f t="shared" si="37"/>
        <v>3.9259320582684048E-5</v>
      </c>
      <c r="AZ24" s="11">
        <f t="shared" si="53"/>
        <v>0</v>
      </c>
      <c r="BA24" s="25">
        <f t="shared" si="38"/>
        <v>1.2699297926654961E-2</v>
      </c>
      <c r="BB24" s="25">
        <f t="shared" si="10"/>
        <v>0.3202627944162883</v>
      </c>
      <c r="BC24" s="25">
        <f t="shared" si="11"/>
        <v>0.3202627944162883</v>
      </c>
      <c r="BD24" s="25">
        <f t="shared" si="12"/>
        <v>0.34973720558371174</v>
      </c>
      <c r="BE24" s="25">
        <f t="shared" si="13"/>
        <v>0.34973720558371174</v>
      </c>
      <c r="BF24" s="25">
        <f t="shared" si="14"/>
        <v>1.2699297926654952E-2</v>
      </c>
      <c r="BG24" s="25">
        <f t="shared" si="15"/>
        <v>0.19646001933823828</v>
      </c>
      <c r="BH24" s="25">
        <f t="shared" si="16"/>
        <v>0.19646001933823828</v>
      </c>
      <c r="BI24" s="25">
        <f t="shared" si="17"/>
        <v>0.20530137400199894</v>
      </c>
      <c r="BJ24" s="25">
        <f t="shared" si="18"/>
        <v>0.20530137400199894</v>
      </c>
      <c r="BK24" s="25">
        <f t="shared" si="39"/>
        <v>6.3511862978187393E-3</v>
      </c>
      <c r="BM24" s="25">
        <f t="shared" si="40"/>
        <v>9.039169042052876E-7</v>
      </c>
      <c r="BN24" s="25">
        <f t="shared" si="41"/>
        <v>2.2608866445218161E-7</v>
      </c>
      <c r="BO24" s="25">
        <f t="shared" si="54"/>
        <v>0.11309380059312305</v>
      </c>
      <c r="BP24" s="25">
        <f t="shared" si="19"/>
        <v>8.3737430990124962E-4</v>
      </c>
      <c r="BQ24" s="46">
        <f t="shared" si="20"/>
        <v>8.7959532370064349E-5</v>
      </c>
      <c r="BS24" s="122">
        <f>BS21+1</f>
        <v>3</v>
      </c>
      <c r="BT24" s="122">
        <f>BT21+1</f>
        <v>4</v>
      </c>
      <c r="BU24" s="154">
        <f t="shared" si="42"/>
        <v>2.2199999999999998</v>
      </c>
      <c r="BV24" s="155">
        <f t="shared" si="43"/>
        <v>-0.2</v>
      </c>
    </row>
    <row r="25" spans="1:74" ht="36" customHeight="1" x14ac:dyDescent="0.45">
      <c r="A25" s="178">
        <v>9</v>
      </c>
      <c r="B25" s="179">
        <v>2.82</v>
      </c>
      <c r="C25" s="179">
        <v>35</v>
      </c>
      <c r="D25" s="179">
        <v>3</v>
      </c>
      <c r="E25" s="179"/>
      <c r="F25" s="179"/>
      <c r="H25" s="31">
        <f t="shared" si="2"/>
        <v>0.24261079942986874</v>
      </c>
      <c r="I25" s="31">
        <f t="shared" si="55"/>
        <v>0.13651352243454587</v>
      </c>
      <c r="J25" s="32">
        <f t="shared" si="21"/>
        <v>4.7779732852091056E-2</v>
      </c>
      <c r="K25" s="31">
        <f t="shared" si="44"/>
        <v>3.8500000000000034E-2</v>
      </c>
      <c r="L25" s="151">
        <f t="shared" si="22"/>
        <v>5.2557706137300207E-3</v>
      </c>
      <c r="M25" s="40">
        <f t="shared" si="23"/>
        <v>5.3142271119615982E-2</v>
      </c>
      <c r="N25" s="2">
        <f t="shared" si="24"/>
        <v>-0.35</v>
      </c>
      <c r="O25" s="38"/>
      <c r="P25" s="38">
        <f t="shared" si="25"/>
        <v>1.9376000000000007</v>
      </c>
      <c r="Q25" s="38">
        <f t="shared" si="3"/>
        <v>0.11463341787417325</v>
      </c>
      <c r="R25" s="38"/>
      <c r="S25" s="38"/>
      <c r="T25" s="38">
        <f t="shared" si="26"/>
        <v>3.5423999999999993</v>
      </c>
      <c r="U25" s="38">
        <f t="shared" si="4"/>
        <v>0.16691153892215865</v>
      </c>
      <c r="V25" s="38"/>
      <c r="W25" s="38">
        <f t="shared" si="45"/>
        <v>0.13651352243454587</v>
      </c>
      <c r="X25" s="38"/>
      <c r="AA25" s="65"/>
      <c r="AB25" s="33"/>
      <c r="AC25" s="41">
        <f t="shared" si="27"/>
        <v>2.82</v>
      </c>
      <c r="AD25" s="6">
        <f t="shared" si="28"/>
        <v>0.13651352243454587</v>
      </c>
      <c r="AE25" s="6" t="e">
        <f t="shared" si="29"/>
        <v>#N/A</v>
      </c>
      <c r="AF25" s="6" t="e">
        <f t="shared" si="30"/>
        <v>#N/A</v>
      </c>
      <c r="AG25" s="43">
        <f t="shared" si="31"/>
        <v>5.3142271119615982E-2</v>
      </c>
      <c r="AH25" s="43" t="e">
        <f t="shared" si="32"/>
        <v>#N/A</v>
      </c>
      <c r="AI25" s="43" t="e">
        <f t="shared" si="33"/>
        <v>#N/A</v>
      </c>
      <c r="AJ25" s="125">
        <f t="shared" si="46"/>
        <v>0</v>
      </c>
      <c r="AL25" s="41">
        <f t="shared" si="6"/>
        <v>4.7779732852091056E-2</v>
      </c>
      <c r="AM25" s="41">
        <f>ABS(AL25-AL24)</f>
        <v>1.9531593555290314E-2</v>
      </c>
      <c r="AN25" s="41">
        <f t="shared" si="48"/>
        <v>0.10999999999999988</v>
      </c>
      <c r="AO25" s="41">
        <f t="shared" si="49"/>
        <v>2.1484752910819319E-3</v>
      </c>
      <c r="AP25" s="153">
        <f t="shared" si="34"/>
        <v>5.2557706137300207E-3</v>
      </c>
      <c r="AQ25" s="41">
        <f t="shared" si="50"/>
        <v>9.0909090909090828E-2</v>
      </c>
      <c r="AR25" s="41">
        <f t="shared" si="51"/>
        <v>1.4285714285714287E-2</v>
      </c>
      <c r="AS25" s="41">
        <f t="shared" si="52"/>
        <v>0</v>
      </c>
      <c r="AT25" s="45">
        <f t="shared" si="35"/>
        <v>0.1667566423797798</v>
      </c>
      <c r="AU25" s="68">
        <f t="shared" si="36"/>
        <v>1.0244799712423994E-4</v>
      </c>
      <c r="AV25" s="41">
        <f t="shared" si="7"/>
        <v>2.333967751860137E-5</v>
      </c>
      <c r="AW25" s="41">
        <f t="shared" si="8"/>
        <v>5.7634713872464726E-7</v>
      </c>
      <c r="AX25" s="41">
        <f t="shared" si="9"/>
        <v>0</v>
      </c>
      <c r="AY25" s="41">
        <f t="shared" si="37"/>
        <v>7.8531972466913918E-5</v>
      </c>
      <c r="AZ25" s="11">
        <f t="shared" si="53"/>
        <v>0</v>
      </c>
      <c r="BA25" s="25">
        <f t="shared" si="38"/>
        <v>1.2155042301226916E-2</v>
      </c>
      <c r="BB25" s="25">
        <f t="shared" si="10"/>
        <v>0.33526279441628826</v>
      </c>
      <c r="BC25" s="25">
        <f t="shared" si="11"/>
        <v>0.3352627944162882</v>
      </c>
      <c r="BD25" s="25">
        <f t="shared" si="12"/>
        <v>0.3647372055837117</v>
      </c>
      <c r="BE25" s="25">
        <f t="shared" si="13"/>
        <v>0.36473720558371175</v>
      </c>
      <c r="BF25" s="25">
        <f t="shared" si="14"/>
        <v>1.2155042301226906E-2</v>
      </c>
      <c r="BG25" s="25">
        <f t="shared" si="15"/>
        <v>0.13360857464952841</v>
      </c>
      <c r="BH25" s="25">
        <f t="shared" si="16"/>
        <v>0.13360857464952841</v>
      </c>
      <c r="BI25" s="25">
        <f t="shared" si="17"/>
        <v>0.13935792907149527</v>
      </c>
      <c r="BJ25" s="25">
        <f t="shared" si="18"/>
        <v>0.1393579290714953</v>
      </c>
      <c r="BK25" s="25">
        <f t="shared" si="39"/>
        <v>6.0788690819634549E-3</v>
      </c>
      <c r="BM25" s="25">
        <f t="shared" si="40"/>
        <v>4.1724694990385849E-7</v>
      </c>
      <c r="BN25" s="25">
        <f t="shared" si="41"/>
        <v>1.0435801313671725E-7</v>
      </c>
      <c r="BO25" s="25">
        <f t="shared" si="54"/>
        <v>0.11309380059312288</v>
      </c>
      <c r="BP25" s="25">
        <f t="shared" si="19"/>
        <v>5.9439507375237796E-4</v>
      </c>
      <c r="BQ25" s="46">
        <f t="shared" si="20"/>
        <v>1.0296960208728051E-4</v>
      </c>
      <c r="BS25" s="122">
        <f t="shared" ref="BS25:BT25" si="59">BS22+1</f>
        <v>3</v>
      </c>
      <c r="BT25" s="122">
        <f t="shared" si="59"/>
        <v>4</v>
      </c>
      <c r="BU25" s="154">
        <f t="shared" si="42"/>
        <v>2.2199999999999998</v>
      </c>
      <c r="BV25" s="155">
        <f t="shared" ref="BV25" si="60">IF(ISBLANK(INDEX(B$17:B$42,BS25)),BV24,$BV$15)</f>
        <v>0</v>
      </c>
    </row>
    <row r="26" spans="1:74" ht="36" customHeight="1" x14ac:dyDescent="0.45">
      <c r="A26" s="180">
        <v>10</v>
      </c>
      <c r="B26" s="181">
        <v>2.93</v>
      </c>
      <c r="C26" s="182">
        <v>34</v>
      </c>
      <c r="D26" s="182">
        <v>2</v>
      </c>
      <c r="E26" s="182"/>
      <c r="F26" s="182"/>
      <c r="H26" s="31">
        <f t="shared" si="2"/>
        <v>0.19809088823063015</v>
      </c>
      <c r="I26" s="31">
        <f>IF(ISBLANK(B27),IF(ISBLANK(B26),"",(2*E26-1)*I25),MAX(0,$H$5*H26+$I$5))</f>
        <v>0.10797625935583392</v>
      </c>
      <c r="J26" s="32">
        <f t="shared" si="21"/>
        <v>3.6711928180983538E-2</v>
      </c>
      <c r="K26" s="31">
        <f t="shared" si="44"/>
        <v>3.740000000000003E-2</v>
      </c>
      <c r="L26" s="151">
        <f t="shared" si="22"/>
        <v>4.0383120999081916E-3</v>
      </c>
      <c r="M26" s="40">
        <f t="shared" si="23"/>
        <v>4.0832276035472105E-2</v>
      </c>
      <c r="N26" s="2">
        <f t="shared" si="24"/>
        <v>-0.34</v>
      </c>
      <c r="O26" s="38"/>
      <c r="P26" s="38">
        <f t="shared" si="25"/>
        <v>1.9448000000000008</v>
      </c>
      <c r="Q26" s="38">
        <f t="shared" si="3"/>
        <v>0.12148027527783101</v>
      </c>
      <c r="R26" s="38"/>
      <c r="S26" s="38"/>
      <c r="T26" s="38">
        <f t="shared" si="26"/>
        <v>3.5351999999999992</v>
      </c>
      <c r="U26" s="38">
        <f t="shared" si="4"/>
        <v>0.17014277671093631</v>
      </c>
      <c r="V26" s="38"/>
      <c r="W26" s="38">
        <f t="shared" si="45"/>
        <v>0.10797625935583392</v>
      </c>
      <c r="X26" s="38"/>
      <c r="AA26" s="65"/>
      <c r="AB26" s="33"/>
      <c r="AC26" s="41">
        <f t="shared" si="27"/>
        <v>2.93</v>
      </c>
      <c r="AD26" s="6">
        <f t="shared" si="28"/>
        <v>0.10797625935583392</v>
      </c>
      <c r="AE26" s="6" t="e">
        <f t="shared" si="29"/>
        <v>#N/A</v>
      </c>
      <c r="AF26" s="6" t="e">
        <f t="shared" si="30"/>
        <v>#N/A</v>
      </c>
      <c r="AG26" s="43">
        <f t="shared" si="31"/>
        <v>4.0832276035472105E-2</v>
      </c>
      <c r="AH26" s="43" t="e">
        <f t="shared" si="32"/>
        <v>#N/A</v>
      </c>
      <c r="AI26" s="43" t="e">
        <f t="shared" si="33"/>
        <v>#N/A</v>
      </c>
      <c r="AJ26" s="125">
        <f t="shared" si="46"/>
        <v>0</v>
      </c>
      <c r="AL26" s="41">
        <f t="shared" si="6"/>
        <v>3.6711928180983538E-2</v>
      </c>
      <c r="AM26" s="41">
        <f t="shared" si="47"/>
        <v>1.1067804671107517E-2</v>
      </c>
      <c r="AN26" s="41">
        <f t="shared" si="48"/>
        <v>0.11000000000000032</v>
      </c>
      <c r="AO26" s="41">
        <f t="shared" si="49"/>
        <v>1.2174585138218304E-3</v>
      </c>
      <c r="AP26" s="153">
        <f t="shared" si="34"/>
        <v>4.0383120999081916E-3</v>
      </c>
      <c r="AQ26" s="41">
        <f t="shared" si="50"/>
        <v>9.0909090909090828E-2</v>
      </c>
      <c r="AR26" s="41">
        <f t="shared" si="51"/>
        <v>1.4705882352941178E-2</v>
      </c>
      <c r="AS26" s="41">
        <f t="shared" si="52"/>
        <v>0</v>
      </c>
      <c r="AT26" s="45">
        <f t="shared" si="35"/>
        <v>0.25003999680051192</v>
      </c>
      <c r="AU26" s="68">
        <f t="shared" si="36"/>
        <v>1.1837771848700274E-4</v>
      </c>
      <c r="AV26" s="41">
        <f t="shared" si="7"/>
        <v>1.3779130299479231E-5</v>
      </c>
      <c r="AW26" s="41">
        <f t="shared" si="8"/>
        <v>3.6056980238689233E-7</v>
      </c>
      <c r="AX26" s="41">
        <f t="shared" si="9"/>
        <v>0</v>
      </c>
      <c r="AY26" s="41">
        <f t="shared" si="37"/>
        <v>1.0423801838513662E-4</v>
      </c>
      <c r="AZ26" s="11">
        <f t="shared" si="53"/>
        <v>0</v>
      </c>
      <c r="BA26" s="25">
        <f t="shared" si="38"/>
        <v>1.251254354538065E-2</v>
      </c>
      <c r="BB26" s="25">
        <f t="shared" si="10"/>
        <v>0.32526279441628825</v>
      </c>
      <c r="BC26" s="25">
        <f t="shared" si="11"/>
        <v>0.3252627944162883</v>
      </c>
      <c r="BD26" s="25">
        <f t="shared" si="12"/>
        <v>0.3547372055837118</v>
      </c>
      <c r="BE26" s="25">
        <f t="shared" si="13"/>
        <v>0.35473720558371175</v>
      </c>
      <c r="BF26" s="25">
        <f t="shared" si="14"/>
        <v>1.2512543545380639E-2</v>
      </c>
      <c r="BG26" s="25">
        <f t="shared" si="15"/>
        <v>0.10561023619855379</v>
      </c>
      <c r="BH26" s="25">
        <f t="shared" si="16"/>
        <v>0.10561023619855379</v>
      </c>
      <c r="BI26" s="25">
        <f t="shared" si="17"/>
        <v>0.11029153720500186</v>
      </c>
      <c r="BJ26" s="25">
        <f t="shared" si="18"/>
        <v>0.11029153720500183</v>
      </c>
      <c r="BK26" s="25">
        <f t="shared" si="39"/>
        <v>6.2577422397167397E-3</v>
      </c>
      <c r="BM26" s="25">
        <f t="shared" si="40"/>
        <v>2.6103478297173349E-7</v>
      </c>
      <c r="BN26" s="25">
        <f t="shared" si="41"/>
        <v>6.5289376007799821E-8</v>
      </c>
      <c r="BO26" s="25">
        <f t="shared" si="54"/>
        <v>4.532994360037243E-2</v>
      </c>
      <c r="BP26" s="25">
        <f t="shared" si="19"/>
        <v>1.8305645972953988E-4</v>
      </c>
      <c r="BQ26" s="46">
        <f t="shared" si="20"/>
        <v>1.1870404264598228E-4</v>
      </c>
      <c r="BS26" s="122">
        <f t="shared" ref="BS26:BT26" si="61">BS23+1</f>
        <v>4</v>
      </c>
      <c r="BT26" s="122">
        <f t="shared" si="61"/>
        <v>3</v>
      </c>
      <c r="BU26" s="154">
        <f t="shared" si="42"/>
        <v>2.2199999999999998</v>
      </c>
      <c r="BV26" s="155">
        <f t="shared" ref="BV26" si="62">INDEX(N$17:N$42,BS26)</f>
        <v>-0.24</v>
      </c>
    </row>
    <row r="27" spans="1:74" ht="36" customHeight="1" x14ac:dyDescent="0.45">
      <c r="A27" s="178">
        <v>11</v>
      </c>
      <c r="B27" s="179">
        <v>3.04</v>
      </c>
      <c r="C27" s="179">
        <v>34</v>
      </c>
      <c r="D27" s="179">
        <v>10</v>
      </c>
      <c r="E27" s="179"/>
      <c r="F27" s="179"/>
      <c r="H27" s="31">
        <f t="shared" si="2"/>
        <v>0.44294469180700202</v>
      </c>
      <c r="I27" s="31">
        <f t="shared" si="55"/>
        <v>0.26492754744828828</v>
      </c>
      <c r="J27" s="32">
        <f t="shared" si="21"/>
        <v>9.0075366132418025E-2</v>
      </c>
      <c r="K27" s="31">
        <f t="shared" si="44"/>
        <v>3.7399999999999961E-2</v>
      </c>
      <c r="L27" s="151">
        <f t="shared" si="22"/>
        <v>9.9082902745659708E-3</v>
      </c>
      <c r="M27" s="40">
        <f t="shared" si="23"/>
        <v>0.10018493705324541</v>
      </c>
      <c r="N27" s="2">
        <f t="shared" si="24"/>
        <v>-0.34</v>
      </c>
      <c r="O27" s="38"/>
      <c r="P27" s="38">
        <f t="shared" si="25"/>
        <v>1.9520000000000008</v>
      </c>
      <c r="Q27" s="38">
        <f t="shared" si="3"/>
        <v>0.12795080978881787</v>
      </c>
      <c r="R27" s="38"/>
      <c r="S27" s="38"/>
      <c r="T27" s="38">
        <f t="shared" si="26"/>
        <v>3.5279999999999991</v>
      </c>
      <c r="U27" s="38">
        <f t="shared" si="4"/>
        <v>0.17308618669295278</v>
      </c>
      <c r="V27" s="38"/>
      <c r="W27" s="38">
        <f t="shared" si="45"/>
        <v>0.26492754744828828</v>
      </c>
      <c r="X27" s="38"/>
      <c r="Y27" s="58"/>
      <c r="Z27" s="38"/>
      <c r="AA27" s="65"/>
      <c r="AB27" s="33"/>
      <c r="AC27" s="41">
        <f t="shared" si="27"/>
        <v>3.04</v>
      </c>
      <c r="AD27" s="6" t="e">
        <f t="shared" si="28"/>
        <v>#N/A</v>
      </c>
      <c r="AE27" s="6">
        <f t="shared" si="29"/>
        <v>0.26492754744828828</v>
      </c>
      <c r="AF27" s="6" t="e">
        <f t="shared" si="30"/>
        <v>#N/A</v>
      </c>
      <c r="AG27" s="43" t="e">
        <f t="shared" si="31"/>
        <v>#N/A</v>
      </c>
      <c r="AH27" s="43">
        <f t="shared" si="32"/>
        <v>0.10018493705324541</v>
      </c>
      <c r="AI27" s="43" t="e">
        <f t="shared" si="33"/>
        <v>#N/A</v>
      </c>
      <c r="AJ27" s="125">
        <f t="shared" si="46"/>
        <v>0</v>
      </c>
      <c r="AL27" s="41">
        <f t="shared" si="6"/>
        <v>9.0075366132418025E-2</v>
      </c>
      <c r="AM27" s="41">
        <f t="shared" si="47"/>
        <v>5.3363437951434486E-2</v>
      </c>
      <c r="AN27" s="41">
        <f t="shared" si="48"/>
        <v>0.10999999999999988</v>
      </c>
      <c r="AO27" s="41">
        <f t="shared" si="49"/>
        <v>5.869978174657787E-3</v>
      </c>
      <c r="AP27" s="153">
        <f t="shared" si="34"/>
        <v>9.9082902745659708E-3</v>
      </c>
      <c r="AQ27" s="41">
        <f t="shared" si="50"/>
        <v>9.0909090909091009E-2</v>
      </c>
      <c r="AR27" s="41">
        <f t="shared" si="51"/>
        <v>1.4705882352941178E-2</v>
      </c>
      <c r="AS27" s="41">
        <f t="shared" si="52"/>
        <v>0</v>
      </c>
      <c r="AT27" s="45">
        <f t="shared" si="35"/>
        <v>5.099019513592784E-2</v>
      </c>
      <c r="AU27" s="68">
        <f t="shared" si="36"/>
        <v>1.1121748419169508E-4</v>
      </c>
      <c r="AV27" s="41">
        <f t="shared" si="7"/>
        <v>8.2950591837708802E-5</v>
      </c>
      <c r="AW27" s="41">
        <f t="shared" si="8"/>
        <v>2.1706361618431542E-6</v>
      </c>
      <c r="AX27" s="41">
        <f t="shared" si="9"/>
        <v>0</v>
      </c>
      <c r="AY27" s="41">
        <f t="shared" si="37"/>
        <v>2.6096256192143125E-5</v>
      </c>
      <c r="AZ27" s="11">
        <f t="shared" si="53"/>
        <v>0</v>
      </c>
      <c r="BA27" s="25">
        <f t="shared" si="38"/>
        <v>1.2512543545380625E-2</v>
      </c>
      <c r="BB27" s="25">
        <f t="shared" si="10"/>
        <v>0.3252627944162883</v>
      </c>
      <c r="BC27" s="25">
        <f t="shared" si="11"/>
        <v>0.3252627944162883</v>
      </c>
      <c r="BD27" s="25">
        <f t="shared" si="12"/>
        <v>0.35473720558371175</v>
      </c>
      <c r="BE27" s="25">
        <f t="shared" si="13"/>
        <v>0.35473720558371175</v>
      </c>
      <c r="BF27" s="25">
        <f t="shared" si="14"/>
        <v>1.2512543545380617E-2</v>
      </c>
      <c r="BG27" s="25">
        <f t="shared" si="15"/>
        <v>0.25912233882184021</v>
      </c>
      <c r="BH27" s="25">
        <f t="shared" si="16"/>
        <v>0.25912233882184021</v>
      </c>
      <c r="BI27" s="25">
        <f t="shared" si="17"/>
        <v>0.2706082487978323</v>
      </c>
      <c r="BJ27" s="25">
        <f t="shared" si="18"/>
        <v>0.2706082487978323</v>
      </c>
      <c r="BK27" s="25">
        <f t="shared" si="39"/>
        <v>6.2577422397167189E-3</v>
      </c>
      <c r="BM27" s="25">
        <f t="shared" si="40"/>
        <v>1.5714337020640086E-6</v>
      </c>
      <c r="BN27" s="25">
        <f t="shared" si="41"/>
        <v>3.9304312121689774E-7</v>
      </c>
      <c r="BO27" s="25">
        <f t="shared" si="54"/>
        <v>0</v>
      </c>
      <c r="BP27" s="25">
        <f t="shared" si="19"/>
        <v>0</v>
      </c>
      <c r="BQ27" s="46">
        <f t="shared" si="20"/>
        <v>1.1318196101497598E-4</v>
      </c>
      <c r="BS27" s="122">
        <f t="shared" ref="BS27:BT27" si="63">BS24+1</f>
        <v>4</v>
      </c>
      <c r="BT27" s="122">
        <f t="shared" si="63"/>
        <v>5</v>
      </c>
      <c r="BU27" s="154">
        <f t="shared" si="42"/>
        <v>2.3250000000000002</v>
      </c>
      <c r="BV27" s="155">
        <f t="shared" si="43"/>
        <v>-0.24</v>
      </c>
    </row>
    <row r="28" spans="1:74" ht="36" customHeight="1" x14ac:dyDescent="0.45">
      <c r="A28" s="180">
        <v>12</v>
      </c>
      <c r="B28" s="181">
        <v>3.15</v>
      </c>
      <c r="C28" s="181">
        <v>34</v>
      </c>
      <c r="D28" s="181">
        <v>10</v>
      </c>
      <c r="E28" s="181"/>
      <c r="F28" s="181"/>
      <c r="H28" s="31">
        <f t="shared" si="2"/>
        <v>0.44294469180700202</v>
      </c>
      <c r="I28" s="31">
        <f t="shared" si="55"/>
        <v>0.26492754744828828</v>
      </c>
      <c r="J28" s="32">
        <f t="shared" si="21"/>
        <v>9.0075366132418025E-2</v>
      </c>
      <c r="K28" s="31">
        <f t="shared" si="44"/>
        <v>3.7399999999999961E-2</v>
      </c>
      <c r="L28" s="151">
        <f t="shared" si="22"/>
        <v>9.9082902745659708E-3</v>
      </c>
      <c r="M28" s="40">
        <f t="shared" si="23"/>
        <v>0.10018493705324541</v>
      </c>
      <c r="N28" s="2">
        <f t="shared" si="24"/>
        <v>-0.34</v>
      </c>
      <c r="O28" s="38"/>
      <c r="P28" s="38">
        <f t="shared" si="25"/>
        <v>1.9592000000000009</v>
      </c>
      <c r="Q28" s="38">
        <f t="shared" si="3"/>
        <v>0.13410052582713122</v>
      </c>
      <c r="R28" s="38"/>
      <c r="S28" s="38"/>
      <c r="T28" s="38">
        <f t="shared" si="26"/>
        <v>3.520799999999999</v>
      </c>
      <c r="U28" s="38">
        <f t="shared" si="4"/>
        <v>0.17579266662680992</v>
      </c>
      <c r="V28" s="38"/>
      <c r="W28" s="38">
        <f t="shared" si="45"/>
        <v>0.26492754744828828</v>
      </c>
      <c r="X28" s="38"/>
      <c r="Y28" s="58"/>
      <c r="Z28" s="38"/>
      <c r="AA28" s="65"/>
      <c r="AB28" s="33"/>
      <c r="AC28" s="41">
        <f t="shared" si="27"/>
        <v>3.15</v>
      </c>
      <c r="AD28" s="6" t="e">
        <f t="shared" si="28"/>
        <v>#N/A</v>
      </c>
      <c r="AE28" s="6">
        <f t="shared" si="29"/>
        <v>0.26492754744828828</v>
      </c>
      <c r="AF28" s="6" t="e">
        <f t="shared" si="30"/>
        <v>#N/A</v>
      </c>
      <c r="AG28" s="43" t="e">
        <f t="shared" si="31"/>
        <v>#N/A</v>
      </c>
      <c r="AH28" s="43">
        <f t="shared" si="32"/>
        <v>0.10018493705324541</v>
      </c>
      <c r="AI28" s="43" t="e">
        <f t="shared" si="33"/>
        <v>#N/A</v>
      </c>
      <c r="AJ28" s="125">
        <f t="shared" si="46"/>
        <v>0</v>
      </c>
      <c r="AL28" s="41">
        <f t="shared" si="6"/>
        <v>9.0075366132418025E-2</v>
      </c>
      <c r="AM28" s="41">
        <f t="shared" si="47"/>
        <v>0</v>
      </c>
      <c r="AN28" s="41">
        <f t="shared" si="48"/>
        <v>0.10999999999999988</v>
      </c>
      <c r="AO28" s="41">
        <f t="shared" si="49"/>
        <v>0</v>
      </c>
      <c r="AP28" s="153">
        <f t="shared" si="34"/>
        <v>9.9082902745659708E-3</v>
      </c>
      <c r="AQ28" s="41">
        <f t="shared" si="50"/>
        <v>9.0909090909091009E-2</v>
      </c>
      <c r="AR28" s="41">
        <f t="shared" si="51"/>
        <v>1.4705882352941178E-2</v>
      </c>
      <c r="AS28" s="41">
        <f t="shared" si="52"/>
        <v>0</v>
      </c>
      <c r="AT28" s="45">
        <f t="shared" si="35"/>
        <v>5.099019513592784E-2</v>
      </c>
      <c r="AU28" s="68">
        <f t="shared" si="36"/>
        <v>1.1121748419169508E-4</v>
      </c>
      <c r="AV28" s="41">
        <f t="shared" si="7"/>
        <v>8.2950591837708802E-5</v>
      </c>
      <c r="AW28" s="41">
        <f t="shared" si="8"/>
        <v>2.1706361618431542E-6</v>
      </c>
      <c r="AX28" s="41">
        <f t="shared" si="9"/>
        <v>0</v>
      </c>
      <c r="AY28" s="41">
        <f t="shared" si="37"/>
        <v>2.6096256192143125E-5</v>
      </c>
      <c r="AZ28" s="11">
        <f t="shared" si="53"/>
        <v>0</v>
      </c>
      <c r="BA28" s="25">
        <f t="shared" si="38"/>
        <v>1.2512543545380625E-2</v>
      </c>
      <c r="BB28" s="25">
        <f t="shared" si="10"/>
        <v>0.3252627944162883</v>
      </c>
      <c r="BC28" s="25">
        <f t="shared" si="11"/>
        <v>0.3252627944162883</v>
      </c>
      <c r="BD28" s="25">
        <f t="shared" si="12"/>
        <v>0.35473720558371175</v>
      </c>
      <c r="BE28" s="25">
        <f t="shared" si="13"/>
        <v>0.35473720558371175</v>
      </c>
      <c r="BF28" s="25">
        <f t="shared" si="14"/>
        <v>1.2512543545380617E-2</v>
      </c>
      <c r="BG28" s="25">
        <f t="shared" si="15"/>
        <v>0.25912233882184021</v>
      </c>
      <c r="BH28" s="25">
        <f t="shared" si="16"/>
        <v>0.25912233882184021</v>
      </c>
      <c r="BI28" s="25">
        <f t="shared" si="17"/>
        <v>0.2706082487978323</v>
      </c>
      <c r="BJ28" s="25">
        <f t="shared" si="18"/>
        <v>0.2706082487978323</v>
      </c>
      <c r="BK28" s="25">
        <f t="shared" si="39"/>
        <v>6.2577422397167189E-3</v>
      </c>
      <c r="BM28" s="25">
        <f t="shared" si="40"/>
        <v>1.5714337020640086E-6</v>
      </c>
      <c r="BN28" s="25">
        <f t="shared" si="41"/>
        <v>3.9304312121689774E-7</v>
      </c>
      <c r="BO28" s="25">
        <f t="shared" si="54"/>
        <v>0.23182380450040327</v>
      </c>
      <c r="BP28" s="25">
        <f t="shared" si="19"/>
        <v>2.2969775475442287E-3</v>
      </c>
      <c r="BQ28" s="46">
        <f t="shared" si="20"/>
        <v>1.1318196101497598E-4</v>
      </c>
      <c r="BS28" s="122">
        <f t="shared" ref="BS28:BT28" si="64">BS25+1</f>
        <v>4</v>
      </c>
      <c r="BT28" s="122">
        <f t="shared" si="64"/>
        <v>5</v>
      </c>
      <c r="BU28" s="154">
        <f t="shared" si="42"/>
        <v>2.3250000000000002</v>
      </c>
      <c r="BV28" s="155">
        <f t="shared" ref="BV28" si="65">IF(ISBLANK(INDEX(B$17:B$42,BS28)),BV27,$BV$15)</f>
        <v>0</v>
      </c>
    </row>
    <row r="29" spans="1:74" ht="36" customHeight="1" x14ac:dyDescent="0.45">
      <c r="A29" s="178">
        <v>13</v>
      </c>
      <c r="B29" s="179">
        <v>3.26</v>
      </c>
      <c r="C29" s="179">
        <v>28.5</v>
      </c>
      <c r="D29" s="179">
        <v>21</v>
      </c>
      <c r="E29" s="179"/>
      <c r="F29" s="179"/>
      <c r="G29" s="147"/>
      <c r="H29" s="148">
        <f t="shared" si="2"/>
        <v>0.64188784067000371</v>
      </c>
      <c r="I29" s="31">
        <f t="shared" si="55"/>
        <v>0.39245010586947238</v>
      </c>
      <c r="J29" s="32">
        <f t="shared" si="21"/>
        <v>0.11184828017279962</v>
      </c>
      <c r="K29" s="31">
        <f>IF(ISBLANK(B29),"",IF(ISBLANK(B30),ABS(B28-B29)/2*C29/100,ABS(B30-B28)/2*C29/100))</f>
        <v>3.8475000000000002E-2</v>
      </c>
      <c r="L29" s="151">
        <f t="shared" si="22"/>
        <v>1.5099517823327951E-2</v>
      </c>
      <c r="M29" s="40">
        <f t="shared" si="23"/>
        <v>0.15267459882030285</v>
      </c>
      <c r="N29" s="2">
        <f t="shared" si="24"/>
        <v>-0.28499999999999998</v>
      </c>
      <c r="O29" s="38"/>
      <c r="P29" s="38">
        <f t="shared" si="25"/>
        <v>1.966400000000001</v>
      </c>
      <c r="Q29" s="38">
        <f t="shared" si="3"/>
        <v>0.1399725121151921</v>
      </c>
      <c r="R29" s="38"/>
      <c r="S29" s="38"/>
      <c r="T29" s="38">
        <f t="shared" si="26"/>
        <v>3.5135999999999989</v>
      </c>
      <c r="U29" s="38">
        <f t="shared" si="4"/>
        <v>0.17830042577768751</v>
      </c>
      <c r="V29" s="38"/>
      <c r="W29" s="38">
        <f t="shared" si="45"/>
        <v>0.39245010586947238</v>
      </c>
      <c r="X29" s="38"/>
      <c r="Y29" s="58"/>
      <c r="Z29" s="38"/>
      <c r="AA29" s="65"/>
      <c r="AB29" s="33"/>
      <c r="AC29" s="41">
        <f t="shared" si="27"/>
        <v>3.26</v>
      </c>
      <c r="AD29" s="6" t="e">
        <f t="shared" si="28"/>
        <v>#N/A</v>
      </c>
      <c r="AE29" s="6" t="e">
        <f t="shared" si="29"/>
        <v>#N/A</v>
      </c>
      <c r="AF29" s="6">
        <f t="shared" si="30"/>
        <v>0.39245010586947238</v>
      </c>
      <c r="AG29" s="43" t="e">
        <f t="shared" si="31"/>
        <v>#N/A</v>
      </c>
      <c r="AH29" s="43" t="e">
        <f t="shared" si="32"/>
        <v>#N/A</v>
      </c>
      <c r="AI29" s="43">
        <f t="shared" si="33"/>
        <v>0.15267459882030285</v>
      </c>
      <c r="AJ29" s="125">
        <f t="shared" si="46"/>
        <v>0</v>
      </c>
      <c r="AL29" s="41">
        <f t="shared" si="6"/>
        <v>0.11184828017279962</v>
      </c>
      <c r="AM29" s="41">
        <f t="shared" si="47"/>
        <v>2.1772914040381591E-2</v>
      </c>
      <c r="AN29" s="41">
        <f t="shared" si="48"/>
        <v>0.10999999999999988</v>
      </c>
      <c r="AO29" s="41">
        <f t="shared" si="49"/>
        <v>2.3950205444419723E-3</v>
      </c>
      <c r="AP29" s="153">
        <f t="shared" si="34"/>
        <v>1.5099517823327951E-2</v>
      </c>
      <c r="AQ29" s="41">
        <f t="shared" si="50"/>
        <v>7.407407407407407E-2</v>
      </c>
      <c r="AR29" s="41">
        <f t="shared" si="51"/>
        <v>1.754385964912281E-2</v>
      </c>
      <c r="AS29" s="41">
        <f t="shared" si="52"/>
        <v>0</v>
      </c>
      <c r="AT29" s="45">
        <f t="shared" si="35"/>
        <v>2.7872807968274044E-2</v>
      </c>
      <c r="AU29" s="68">
        <f t="shared" si="36"/>
        <v>1.5318206737867908E-4</v>
      </c>
      <c r="AV29" s="41">
        <f t="shared" si="7"/>
        <v>1.2789867283917922E-4</v>
      </c>
      <c r="AW29" s="41">
        <f t="shared" si="8"/>
        <v>7.174371537377785E-6</v>
      </c>
      <c r="AX29" s="41">
        <f t="shared" si="9"/>
        <v>0</v>
      </c>
      <c r="AY29" s="41">
        <f t="shared" si="37"/>
        <v>1.8109023002122074E-5</v>
      </c>
      <c r="AZ29" s="11">
        <f t="shared" si="53"/>
        <v>0</v>
      </c>
      <c r="BA29" s="25">
        <f t="shared" si="38"/>
        <v>1.8948051646841407E-2</v>
      </c>
      <c r="BB29" s="25">
        <f t="shared" si="10"/>
        <v>0.27026279441628825</v>
      </c>
      <c r="BC29" s="25">
        <f t="shared" si="11"/>
        <v>0.26356406460551013</v>
      </c>
      <c r="BD29" s="25">
        <f t="shared" si="12"/>
        <v>0.2997372055837117</v>
      </c>
      <c r="BE29" s="25">
        <f t="shared" si="13"/>
        <v>0.30643593539448982</v>
      </c>
      <c r="BF29" s="25">
        <f t="shared" si="14"/>
        <v>1.8948051646841407E-2</v>
      </c>
      <c r="BG29" s="25">
        <f t="shared" si="15"/>
        <v>0.38216873255784145</v>
      </c>
      <c r="BH29" s="25">
        <f t="shared" si="16"/>
        <v>0.37740280077164129</v>
      </c>
      <c r="BI29" s="25">
        <f t="shared" si="17"/>
        <v>0.40246891935782209</v>
      </c>
      <c r="BJ29" s="25">
        <f t="shared" si="18"/>
        <v>0.40694139278726721</v>
      </c>
      <c r="BK29" s="25">
        <f t="shared" si="39"/>
        <v>9.4796038629041905E-3</v>
      </c>
      <c r="BM29" s="25">
        <f t="shared" si="40"/>
        <v>8.3687904713094246E-6</v>
      </c>
      <c r="BN29" s="25">
        <f t="shared" si="41"/>
        <v>2.0946619971159357E-6</v>
      </c>
      <c r="BO29" s="25">
        <f t="shared" si="54"/>
        <v>0.58225100844262812</v>
      </c>
      <c r="BP29" s="25">
        <f t="shared" si="19"/>
        <v>8.7917094796301359E-3</v>
      </c>
      <c r="BQ29" s="46">
        <f t="shared" si="20"/>
        <v>1.6364551984710443E-4</v>
      </c>
      <c r="BS29" s="122">
        <f t="shared" ref="BS29:BT29" si="66">BS26+1</f>
        <v>5</v>
      </c>
      <c r="BT29" s="122">
        <f t="shared" si="66"/>
        <v>4</v>
      </c>
      <c r="BU29" s="154">
        <f t="shared" si="42"/>
        <v>2.3250000000000002</v>
      </c>
      <c r="BV29" s="155">
        <f t="shared" ref="BV29" si="67">INDEX(N$17:N$42,BS29)</f>
        <v>-0.3</v>
      </c>
    </row>
    <row r="30" spans="1:74" ht="36" customHeight="1" x14ac:dyDescent="0.45">
      <c r="A30" s="180">
        <v>14</v>
      </c>
      <c r="B30" s="181">
        <v>3.42</v>
      </c>
      <c r="C30" s="181">
        <v>15</v>
      </c>
      <c r="D30" s="181">
        <v>6</v>
      </c>
      <c r="E30" s="181"/>
      <c r="F30" s="181"/>
      <c r="G30" s="147"/>
      <c r="H30" s="148">
        <f t="shared" si="2"/>
        <v>0.34310348293189913</v>
      </c>
      <c r="I30" s="31">
        <f t="shared" si="55"/>
        <v>0.20092933255934736</v>
      </c>
      <c r="J30" s="32">
        <f t="shared" si="21"/>
        <v>3.0139399883902102E-2</v>
      </c>
      <c r="K30" s="31">
        <f t="shared" si="44"/>
        <v>2.5500000000000026E-2</v>
      </c>
      <c r="L30" s="151">
        <f t="shared" si="22"/>
        <v>5.1236979802633626E-3</v>
      </c>
      <c r="M30" s="40">
        <f t="shared" si="23"/>
        <v>5.1806855209942999E-2</v>
      </c>
      <c r="N30" s="2">
        <f t="shared" si="24"/>
        <v>-0.15</v>
      </c>
      <c r="O30" s="38"/>
      <c r="P30" s="38">
        <f t="shared" si="25"/>
        <v>1.9736000000000011</v>
      </c>
      <c r="Q30" s="38">
        <f t="shared" si="3"/>
        <v>0.14560101130211597</v>
      </c>
      <c r="R30" s="38"/>
      <c r="S30" s="38"/>
      <c r="T30" s="38">
        <f t="shared" si="26"/>
        <v>3.5063999999999989</v>
      </c>
      <c r="U30" s="38">
        <f t="shared" si="4"/>
        <v>0.18063891989807013</v>
      </c>
      <c r="V30" s="38"/>
      <c r="W30" s="38">
        <f t="shared" si="45"/>
        <v>0.20092933255934736</v>
      </c>
      <c r="X30" s="38"/>
      <c r="Y30" s="58"/>
      <c r="Z30" s="38"/>
      <c r="AA30" s="65"/>
      <c r="AB30" s="33"/>
      <c r="AC30" s="41">
        <f t="shared" si="27"/>
        <v>3.42</v>
      </c>
      <c r="AD30" s="6">
        <f t="shared" si="28"/>
        <v>0.20092933255934736</v>
      </c>
      <c r="AE30" s="6" t="e">
        <f t="shared" si="29"/>
        <v>#N/A</v>
      </c>
      <c r="AF30" s="6" t="e">
        <f t="shared" si="30"/>
        <v>#N/A</v>
      </c>
      <c r="AG30" s="43">
        <f t="shared" si="31"/>
        <v>5.1806855209942999E-2</v>
      </c>
      <c r="AH30" s="43" t="e">
        <f t="shared" si="32"/>
        <v>#N/A</v>
      </c>
      <c r="AI30" s="43" t="e">
        <f t="shared" si="33"/>
        <v>#N/A</v>
      </c>
      <c r="AJ30" s="125">
        <f t="shared" si="46"/>
        <v>0</v>
      </c>
      <c r="AL30" s="41">
        <f t="shared" si="6"/>
        <v>3.0139399883902102E-2</v>
      </c>
      <c r="AM30" s="41">
        <f t="shared" si="47"/>
        <v>8.1708880288897515E-2</v>
      </c>
      <c r="AN30" s="41">
        <f t="shared" si="48"/>
        <v>0.16000000000000014</v>
      </c>
      <c r="AO30" s="41">
        <f t="shared" si="49"/>
        <v>1.3073420846223614E-2</v>
      </c>
      <c r="AP30" s="153">
        <f t="shared" si="34"/>
        <v>5.1236979802633626E-3</v>
      </c>
      <c r="AQ30" s="41">
        <f t="shared" si="50"/>
        <v>5.8823529411764656E-2</v>
      </c>
      <c r="AR30" s="41">
        <f t="shared" si="51"/>
        <v>3.3333333333333333E-2</v>
      </c>
      <c r="AS30" s="41">
        <f t="shared" si="52"/>
        <v>0</v>
      </c>
      <c r="AT30" s="45">
        <f t="shared" si="35"/>
        <v>8.3692559074534489E-2</v>
      </c>
      <c r="AU30" s="68">
        <f t="shared" si="36"/>
        <v>3.106877241103669E-5</v>
      </c>
      <c r="AV30" s="41">
        <f t="shared" si="7"/>
        <v>9.2870250752387326E-6</v>
      </c>
      <c r="AW30" s="41">
        <f t="shared" si="8"/>
        <v>2.9821669408266647E-6</v>
      </c>
      <c r="AX30" s="41">
        <f t="shared" si="9"/>
        <v>0</v>
      </c>
      <c r="AY30" s="41">
        <f t="shared" si="37"/>
        <v>1.8799580394971295E-5</v>
      </c>
      <c r="AZ30" s="11">
        <f t="shared" si="53"/>
        <v>0</v>
      </c>
      <c r="BA30" s="25">
        <f t="shared" si="38"/>
        <v>4.3983486401944112E-2</v>
      </c>
      <c r="BB30" s="25">
        <f t="shared" si="10"/>
        <v>0.12856406460551015</v>
      </c>
      <c r="BC30" s="25">
        <f t="shared" si="11"/>
        <v>0.12588457268119893</v>
      </c>
      <c r="BD30" s="25">
        <f t="shared" si="12"/>
        <v>0.17143593539448984</v>
      </c>
      <c r="BE30" s="25">
        <f t="shared" si="13"/>
        <v>0.17411542731880106</v>
      </c>
      <c r="BF30" s="25">
        <f t="shared" si="14"/>
        <v>4.3983486401944119E-2</v>
      </c>
      <c r="BG30" s="25">
        <f t="shared" si="15"/>
        <v>0.18601908733984995</v>
      </c>
      <c r="BH30" s="25">
        <f t="shared" si="16"/>
        <v>0.18407040467237382</v>
      </c>
      <c r="BI30" s="25">
        <f t="shared" si="17"/>
        <v>0.21480710535440606</v>
      </c>
      <c r="BJ30" s="25">
        <f t="shared" si="18"/>
        <v>0.21647928189376034</v>
      </c>
      <c r="BK30" s="25">
        <f t="shared" si="39"/>
        <v>2.2056893281944864E-2</v>
      </c>
      <c r="BM30" s="25">
        <f t="shared" si="40"/>
        <v>5.1922281021559647E-6</v>
      </c>
      <c r="BN30" s="25">
        <f t="shared" si="41"/>
        <v>1.3057593514334709E-6</v>
      </c>
      <c r="BO30" s="25">
        <f t="shared" si="54"/>
        <v>0.43300154264953822</v>
      </c>
      <c r="BP30" s="25">
        <f t="shared" si="19"/>
        <v>2.2185691295243592E-3</v>
      </c>
      <c r="BQ30" s="46">
        <f t="shared" si="20"/>
        <v>3.7566759864626129E-5</v>
      </c>
      <c r="BS30" s="122">
        <f t="shared" ref="BS30:BT30" si="68">BS27+1</f>
        <v>5</v>
      </c>
      <c r="BT30" s="122">
        <f t="shared" si="68"/>
        <v>6</v>
      </c>
      <c r="BU30" s="154">
        <f t="shared" si="42"/>
        <v>2.4350000000000001</v>
      </c>
      <c r="BV30" s="155">
        <f t="shared" si="43"/>
        <v>-0.3</v>
      </c>
    </row>
    <row r="31" spans="1:74" ht="36" customHeight="1" x14ac:dyDescent="0.45">
      <c r="A31" s="178">
        <v>15</v>
      </c>
      <c r="B31" s="179">
        <v>3.6</v>
      </c>
      <c r="C31" s="179">
        <v>12</v>
      </c>
      <c r="D31" s="179"/>
      <c r="E31" s="179">
        <v>0.86</v>
      </c>
      <c r="F31" s="179"/>
      <c r="G31" s="147"/>
      <c r="H31" s="148">
        <f t="shared" si="2"/>
        <v>0</v>
      </c>
      <c r="I31" s="31">
        <f t="shared" si="55"/>
        <v>0.14466911944273009</v>
      </c>
      <c r="J31" s="32">
        <f t="shared" si="21"/>
        <v>1.7360294333127611E-2</v>
      </c>
      <c r="K31" s="31">
        <f t="shared" si="44"/>
        <v>1.0800000000000009E-2</v>
      </c>
      <c r="L31" s="151">
        <f>IF(ISBLANK(B31),"",I31*K31)</f>
        <v>1.5624264899814864E-3</v>
      </c>
      <c r="M31" s="146">
        <f t="shared" si="23"/>
        <v>1.5798043376961439E-2</v>
      </c>
      <c r="N31" s="2">
        <f t="shared" si="24"/>
        <v>-0.12</v>
      </c>
      <c r="O31" s="38"/>
      <c r="P31" s="38">
        <f t="shared" si="25"/>
        <v>1.9808000000000012</v>
      </c>
      <c r="Q31" s="38">
        <f t="shared" si="3"/>
        <v>0.15101376974224104</v>
      </c>
      <c r="R31" s="38"/>
      <c r="S31" s="38"/>
      <c r="T31" s="38">
        <f t="shared" si="26"/>
        <v>3.4991999999999988</v>
      </c>
      <c r="U31" s="38">
        <f t="shared" si="4"/>
        <v>0.18283136213001844</v>
      </c>
      <c r="V31" s="38"/>
      <c r="W31" s="38" t="e">
        <f t="shared" si="45"/>
        <v>#N/A</v>
      </c>
      <c r="X31" s="38"/>
      <c r="Y31" s="58"/>
      <c r="Z31" s="38"/>
      <c r="AA31" s="65"/>
      <c r="AB31" s="33"/>
      <c r="AC31" s="41">
        <f t="shared" si="27"/>
        <v>3.6</v>
      </c>
      <c r="AD31" s="6">
        <f t="shared" si="28"/>
        <v>0.14466911944273009</v>
      </c>
      <c r="AE31" s="6" t="e">
        <f t="shared" si="29"/>
        <v>#N/A</v>
      </c>
      <c r="AF31" s="6" t="e">
        <f t="shared" si="30"/>
        <v>#N/A</v>
      </c>
      <c r="AG31" s="43">
        <f t="shared" si="31"/>
        <v>1.5798043376961439E-2</v>
      </c>
      <c r="AH31" s="43" t="e">
        <f t="shared" si="32"/>
        <v>#N/A</v>
      </c>
      <c r="AI31" s="43" t="e">
        <f>IF($M31&lt;0.15,NA(),$M31)</f>
        <v>#N/A</v>
      </c>
      <c r="AJ31" s="125">
        <f t="shared" si="46"/>
        <v>1.5624264899814864E-3</v>
      </c>
      <c r="AL31" s="41">
        <f t="shared" si="6"/>
        <v>0</v>
      </c>
      <c r="AM31" s="41">
        <f t="shared" si="47"/>
        <v>3.0139399883902102E-2</v>
      </c>
      <c r="AN31" s="41">
        <f t="shared" si="48"/>
        <v>0.18000000000000016</v>
      </c>
      <c r="AO31" s="41">
        <f t="shared" si="49"/>
        <v>5.4250919791023833E-3</v>
      </c>
      <c r="AP31" s="153">
        <f t="shared" si="34"/>
        <v>1.5624264899814864E-3</v>
      </c>
      <c r="AQ31" s="41">
        <f t="shared" si="50"/>
        <v>0.11111111111111102</v>
      </c>
      <c r="AR31" s="41">
        <f t="shared" si="51"/>
        <v>4.1666666666666671E-2</v>
      </c>
      <c r="AS31" s="41">
        <f t="shared" si="52"/>
        <v>0</v>
      </c>
      <c r="AT31" s="45">
        <f t="shared" si="35"/>
        <v>8.3692559074534489E-2</v>
      </c>
      <c r="AU31" s="68">
        <f t="shared" si="36"/>
        <v>7.2842471451633976E-6</v>
      </c>
      <c r="AV31" s="41">
        <f t="shared" si="7"/>
        <v>3.0812120313624047E-6</v>
      </c>
      <c r="AW31" s="41">
        <f t="shared" si="8"/>
        <v>4.3329544191033895E-7</v>
      </c>
      <c r="AX31" s="41">
        <f t="shared" si="9"/>
        <v>0</v>
      </c>
      <c r="AY31" s="41">
        <f t="shared" si="37"/>
        <v>1.7481564581137769E-6</v>
      </c>
      <c r="AZ31" s="11">
        <f t="shared" si="53"/>
        <v>2.0215832137768768E-6</v>
      </c>
      <c r="BA31" s="25">
        <f t="shared" si="38"/>
        <v>5.8012701892219375E-2</v>
      </c>
      <c r="BB31" s="25">
        <f t="shared" si="10"/>
        <v>9.5884572681198932E-2</v>
      </c>
      <c r="BC31" s="25">
        <f t="shared" si="11"/>
        <v>0</v>
      </c>
      <c r="BD31" s="25">
        <f t="shared" si="12"/>
        <v>0.14411542731880106</v>
      </c>
      <c r="BE31" s="25">
        <f t="shared" si="13"/>
        <v>0</v>
      </c>
      <c r="BF31" s="25">
        <f t="shared" si="14"/>
        <v>5.8012701892219375E-2</v>
      </c>
      <c r="BG31" s="25">
        <f t="shared" si="15"/>
        <v>0.12931817993510122</v>
      </c>
      <c r="BH31" s="25">
        <f t="shared" si="16"/>
        <v>0</v>
      </c>
      <c r="BI31" s="25">
        <f t="shared" si="17"/>
        <v>0.15854058338148813</v>
      </c>
      <c r="BJ31" s="25">
        <f t="shared" si="18"/>
        <v>0</v>
      </c>
      <c r="BK31" s="25">
        <f t="shared" si="39"/>
        <v>2.9155431651773901E-2</v>
      </c>
      <c r="BM31" s="25">
        <f t="shared" si="40"/>
        <v>8.3994875276871991E-7</v>
      </c>
      <c r="BN31" s="25">
        <f t="shared" si="41"/>
        <v>2.1215123052625172E-7</v>
      </c>
      <c r="BO31" s="25">
        <f t="shared" si="54"/>
        <v>0.16514867741462669</v>
      </c>
      <c r="BP31" s="25">
        <f t="shared" si="19"/>
        <v>2.5803266837801998E-4</v>
      </c>
      <c r="BQ31" s="46">
        <f t="shared" si="20"/>
        <v>8.3363471284583693E-6</v>
      </c>
      <c r="BS31" s="122">
        <f t="shared" ref="BS31:BT31" si="69">BS28+1</f>
        <v>5</v>
      </c>
      <c r="BT31" s="122">
        <f t="shared" si="69"/>
        <v>6</v>
      </c>
      <c r="BU31" s="154">
        <f t="shared" si="42"/>
        <v>2.4350000000000001</v>
      </c>
      <c r="BV31" s="155">
        <f t="shared" ref="BV31" si="70">IF(ISBLANK(INDEX(B$17:B$42,BS31)),BV30,$BV$15)</f>
        <v>0</v>
      </c>
    </row>
    <row r="32" spans="1:74" ht="36" customHeight="1" x14ac:dyDescent="0.45">
      <c r="A32" s="180">
        <v>16</v>
      </c>
      <c r="B32" s="181"/>
      <c r="C32" s="182"/>
      <c r="D32" s="182"/>
      <c r="E32" s="182"/>
      <c r="F32" s="181"/>
      <c r="H32" s="148" t="str">
        <f t="shared" ref="H32:H42" si="71">IF(ISBLANK(B32),"",SQRT(2*9.81*D32/1000))</f>
        <v/>
      </c>
      <c r="I32" s="31" t="str">
        <f t="shared" ref="I32:I42" si="72">IF(ISBLANK(B33),IF(ISBLANK(B32),"",(2*E32-1)*I31),MAX(0,$H$5*H32+$I$5))</f>
        <v/>
      </c>
      <c r="J32" s="32" t="str">
        <f t="shared" ref="J32:J42" si="73">IF(ISBLANK(B32),"",I32*C32/100)</f>
        <v/>
      </c>
      <c r="K32" s="31" t="str">
        <f t="shared" ref="K32:K42" si="74">IF(ISBLANK(B32),"",IF(ISBLANK(B33),ABS(B31-B32)/2*C32/100,ABS(B33-B31)/2*C32/100))</f>
        <v/>
      </c>
      <c r="L32" s="151" t="str">
        <f t="shared" ref="L32:L42" si="75">IF(ISBLANK(B32),"",I32*K32)</f>
        <v/>
      </c>
      <c r="M32" s="146">
        <f t="shared" ref="M32:M42" si="76">IF(ISBLANK(B32),0,L32/$H$9)</f>
        <v>0</v>
      </c>
      <c r="N32" s="2" t="str">
        <f t="shared" ref="N32:N42" si="77">IF(ISBLANK(B32),"",-C32/100)</f>
        <v/>
      </c>
      <c r="O32" s="38"/>
      <c r="P32" s="38">
        <f t="shared" si="25"/>
        <v>1.9880000000000013</v>
      </c>
      <c r="Q32" s="38">
        <f t="shared" si="3"/>
        <v>0.1562336411618846</v>
      </c>
      <c r="R32" s="38"/>
      <c r="S32" s="38"/>
      <c r="T32" s="38">
        <f t="shared" si="26"/>
        <v>3.4919999999999987</v>
      </c>
      <c r="U32" s="38">
        <f t="shared" si="4"/>
        <v>0.18489638872709918</v>
      </c>
      <c r="V32" s="38"/>
      <c r="W32" s="38" t="e">
        <f t="shared" si="45"/>
        <v>#N/A</v>
      </c>
      <c r="X32" s="38"/>
      <c r="Y32" s="58"/>
      <c r="Z32" s="38"/>
      <c r="AA32" s="65"/>
      <c r="AB32" s="33"/>
      <c r="AC32" s="41">
        <f t="shared" si="27"/>
        <v>0</v>
      </c>
      <c r="AD32" s="6" t="e">
        <f t="shared" si="28"/>
        <v>#N/A</v>
      </c>
      <c r="AE32" s="6" t="e">
        <f t="shared" si="29"/>
        <v>#N/A</v>
      </c>
      <c r="AF32" s="6" t="e">
        <f t="shared" si="30"/>
        <v>#N/A</v>
      </c>
      <c r="AG32" s="43">
        <f t="shared" si="31"/>
        <v>0</v>
      </c>
      <c r="AH32" s="43" t="e">
        <f t="shared" si="32"/>
        <v>#N/A</v>
      </c>
      <c r="AI32" s="43" t="e">
        <f t="shared" si="33"/>
        <v>#N/A</v>
      </c>
      <c r="AJ32" s="125">
        <f t="shared" si="46"/>
        <v>0</v>
      </c>
      <c r="AL32" s="41">
        <f t="shared" si="6"/>
        <v>0</v>
      </c>
      <c r="AM32" s="41">
        <f t="shared" si="47"/>
        <v>0</v>
      </c>
      <c r="AN32" s="41">
        <f t="shared" si="48"/>
        <v>0</v>
      </c>
      <c r="AO32" s="41">
        <f t="shared" si="49"/>
        <v>0</v>
      </c>
      <c r="AP32" s="153">
        <f t="shared" si="34"/>
        <v>0</v>
      </c>
      <c r="AQ32" s="41">
        <f t="shared" si="50"/>
        <v>0</v>
      </c>
      <c r="AR32" s="41">
        <f t="shared" si="51"/>
        <v>0</v>
      </c>
      <c r="AS32" s="41">
        <f>IF(AP32=0,0,IF(ISBLANK(#REF!),$AA$11/I31,$AA$11/I32))</f>
        <v>0</v>
      </c>
      <c r="AT32" s="45">
        <f t="shared" si="35"/>
        <v>0</v>
      </c>
      <c r="AU32" s="68">
        <f t="shared" si="36"/>
        <v>0</v>
      </c>
      <c r="AV32" s="41">
        <f t="shared" si="7"/>
        <v>0</v>
      </c>
      <c r="AW32" s="41">
        <f t="shared" si="8"/>
        <v>0</v>
      </c>
      <c r="AX32" s="41">
        <f t="shared" si="9"/>
        <v>0</v>
      </c>
      <c r="AY32" s="41">
        <f t="shared" si="37"/>
        <v>0</v>
      </c>
      <c r="AZ32" s="11">
        <f t="shared" si="53"/>
        <v>0</v>
      </c>
      <c r="BA32" s="25">
        <f t="shared" si="38"/>
        <v>0</v>
      </c>
      <c r="BB32" s="25">
        <f t="shared" si="10"/>
        <v>0</v>
      </c>
      <c r="BC32" s="25">
        <f t="shared" si="11"/>
        <v>0</v>
      </c>
      <c r="BD32" s="25">
        <f t="shared" si="12"/>
        <v>0</v>
      </c>
      <c r="BE32" s="25">
        <f t="shared" si="13"/>
        <v>0</v>
      </c>
      <c r="BF32" s="25">
        <f t="shared" si="14"/>
        <v>0</v>
      </c>
      <c r="BG32" s="25">
        <f t="shared" si="15"/>
        <v>0</v>
      </c>
      <c r="BH32" s="25">
        <f t="shared" si="16"/>
        <v>0</v>
      </c>
      <c r="BI32" s="25">
        <f t="shared" si="17"/>
        <v>0</v>
      </c>
      <c r="BJ32" s="25">
        <f t="shared" si="18"/>
        <v>0</v>
      </c>
      <c r="BK32" s="25">
        <f t="shared" si="39"/>
        <v>0</v>
      </c>
      <c r="BM32" s="25">
        <f t="shared" si="40"/>
        <v>0</v>
      </c>
      <c r="BN32" s="25">
        <f t="shared" si="41"/>
        <v>0</v>
      </c>
      <c r="BO32" s="25" t="e">
        <f t="shared" si="54"/>
        <v>#N/A</v>
      </c>
      <c r="BP32" s="25" t="e">
        <f t="shared" si="19"/>
        <v>#N/A</v>
      </c>
      <c r="BQ32" s="46">
        <f t="shared" si="20"/>
        <v>0</v>
      </c>
      <c r="BS32" s="122">
        <f t="shared" ref="BS32:BT32" si="78">BS29+1</f>
        <v>6</v>
      </c>
      <c r="BT32" s="122">
        <f t="shared" si="78"/>
        <v>5</v>
      </c>
      <c r="BU32" s="154">
        <f t="shared" si="42"/>
        <v>2.4350000000000001</v>
      </c>
      <c r="BV32" s="155">
        <f t="shared" ref="BV32" si="79">INDEX(N$17:N$42,BS32)</f>
        <v>-0.34499999999999997</v>
      </c>
    </row>
    <row r="33" spans="1:74" ht="36" customHeight="1" x14ac:dyDescent="0.45">
      <c r="A33" s="178">
        <v>17</v>
      </c>
      <c r="B33" s="179"/>
      <c r="C33" s="179"/>
      <c r="D33" s="179"/>
      <c r="E33" s="179"/>
      <c r="F33" s="179"/>
      <c r="H33" s="148" t="str">
        <f t="shared" si="71"/>
        <v/>
      </c>
      <c r="I33" s="31" t="str">
        <f t="shared" si="72"/>
        <v/>
      </c>
      <c r="J33" s="32" t="str">
        <f t="shared" si="73"/>
        <v/>
      </c>
      <c r="K33" s="31" t="str">
        <f t="shared" si="74"/>
        <v/>
      </c>
      <c r="L33" s="151" t="str">
        <f t="shared" si="75"/>
        <v/>
      </c>
      <c r="M33" s="146">
        <f t="shared" si="76"/>
        <v>0</v>
      </c>
      <c r="N33" s="2" t="str">
        <f t="shared" si="77"/>
        <v/>
      </c>
      <c r="O33" s="38"/>
      <c r="P33" s="38">
        <f t="shared" si="25"/>
        <v>1.9952000000000014</v>
      </c>
      <c r="Q33" s="38">
        <f t="shared" si="3"/>
        <v>0.16127971477697994</v>
      </c>
      <c r="R33" s="38"/>
      <c r="S33" s="38"/>
      <c r="T33" s="38">
        <f t="shared" si="26"/>
        <v>3.4847999999999986</v>
      </c>
      <c r="U33" s="38">
        <f t="shared" si="4"/>
        <v>0.1868492006952254</v>
      </c>
      <c r="V33" s="38"/>
      <c r="W33" s="38" t="e">
        <f t="shared" si="45"/>
        <v>#N/A</v>
      </c>
      <c r="X33" s="38"/>
      <c r="Y33" s="58"/>
      <c r="Z33" s="38"/>
      <c r="AA33" s="65"/>
      <c r="AB33" s="33"/>
      <c r="AC33" s="41">
        <f t="shared" si="27"/>
        <v>0</v>
      </c>
      <c r="AD33" s="6" t="e">
        <f t="shared" si="28"/>
        <v>#N/A</v>
      </c>
      <c r="AE33" s="6" t="e">
        <f t="shared" si="29"/>
        <v>#N/A</v>
      </c>
      <c r="AF33" s="6" t="e">
        <f t="shared" si="30"/>
        <v>#N/A</v>
      </c>
      <c r="AG33" s="43">
        <f t="shared" si="31"/>
        <v>0</v>
      </c>
      <c r="AH33" s="43" t="e">
        <f t="shared" si="32"/>
        <v>#N/A</v>
      </c>
      <c r="AI33" s="43" t="e">
        <f t="shared" si="33"/>
        <v>#N/A</v>
      </c>
      <c r="AJ33" s="125">
        <f t="shared" si="46"/>
        <v>0</v>
      </c>
      <c r="AL33" s="41">
        <f t="shared" si="6"/>
        <v>0</v>
      </c>
      <c r="AM33" s="41">
        <f t="shared" si="47"/>
        <v>0</v>
      </c>
      <c r="AN33" s="41">
        <f t="shared" si="48"/>
        <v>0</v>
      </c>
      <c r="AO33" s="41">
        <f t="shared" si="49"/>
        <v>0</v>
      </c>
      <c r="AP33" s="153">
        <f t="shared" si="34"/>
        <v>0</v>
      </c>
      <c r="AQ33" s="41">
        <f t="shared" si="50"/>
        <v>0</v>
      </c>
      <c r="AR33" s="41">
        <f t="shared" si="51"/>
        <v>0</v>
      </c>
      <c r="AS33" s="41">
        <f t="shared" ref="AS33:AS39" si="80">IF(AP33=0,0,IF(ISBLANK(D32),$AA$11/I32,$AA$11/I33))</f>
        <v>0</v>
      </c>
      <c r="AT33" s="45">
        <f t="shared" si="35"/>
        <v>0</v>
      </c>
      <c r="AU33" s="68">
        <f t="shared" si="36"/>
        <v>0</v>
      </c>
      <c r="AV33" s="41">
        <f t="shared" si="7"/>
        <v>0</v>
      </c>
      <c r="AW33" s="41">
        <f t="shared" si="8"/>
        <v>0</v>
      </c>
      <c r="AX33" s="41">
        <f t="shared" si="9"/>
        <v>0</v>
      </c>
      <c r="AY33" s="41">
        <f t="shared" si="37"/>
        <v>0</v>
      </c>
      <c r="AZ33" s="11">
        <f t="shared" si="53"/>
        <v>0</v>
      </c>
      <c r="BA33" s="25">
        <f t="shared" si="38"/>
        <v>0</v>
      </c>
      <c r="BB33" s="25">
        <f t="shared" si="10"/>
        <v>0</v>
      </c>
      <c r="BC33" s="25">
        <f t="shared" si="11"/>
        <v>0</v>
      </c>
      <c r="BD33" s="25">
        <f t="shared" si="12"/>
        <v>0</v>
      </c>
      <c r="BE33" s="25">
        <f t="shared" si="13"/>
        <v>0</v>
      </c>
      <c r="BF33" s="25">
        <f t="shared" si="14"/>
        <v>0</v>
      </c>
      <c r="BG33" s="25">
        <f t="shared" si="15"/>
        <v>0</v>
      </c>
      <c r="BH33" s="25">
        <f t="shared" si="16"/>
        <v>0</v>
      </c>
      <c r="BI33" s="25">
        <f t="shared" si="17"/>
        <v>0</v>
      </c>
      <c r="BJ33" s="25">
        <f t="shared" si="18"/>
        <v>0</v>
      </c>
      <c r="BK33" s="25">
        <f t="shared" si="39"/>
        <v>0</v>
      </c>
      <c r="BM33" s="25">
        <f t="shared" si="40"/>
        <v>0</v>
      </c>
      <c r="BN33" s="25">
        <f t="shared" si="41"/>
        <v>0</v>
      </c>
      <c r="BO33" s="25" t="e">
        <f t="shared" si="54"/>
        <v>#N/A</v>
      </c>
      <c r="BP33" s="25" t="e">
        <f t="shared" si="19"/>
        <v>#N/A</v>
      </c>
      <c r="BQ33" s="46">
        <f t="shared" si="20"/>
        <v>0</v>
      </c>
      <c r="BS33" s="122">
        <f t="shared" ref="BS33:BT33" si="81">BS30+1</f>
        <v>6</v>
      </c>
      <c r="BT33" s="122">
        <f t="shared" si="81"/>
        <v>7</v>
      </c>
      <c r="BU33" s="154">
        <f t="shared" si="42"/>
        <v>2.5449999999999999</v>
      </c>
      <c r="BV33" s="155">
        <f t="shared" si="43"/>
        <v>-0.34499999999999997</v>
      </c>
    </row>
    <row r="34" spans="1:74" ht="36" customHeight="1" x14ac:dyDescent="0.45">
      <c r="A34" s="180">
        <v>18</v>
      </c>
      <c r="B34" s="181"/>
      <c r="C34" s="181"/>
      <c r="D34" s="181"/>
      <c r="E34" s="181"/>
      <c r="F34" s="181"/>
      <c r="H34" s="148" t="str">
        <f t="shared" si="71"/>
        <v/>
      </c>
      <c r="I34" s="31" t="str">
        <f t="shared" si="72"/>
        <v/>
      </c>
      <c r="J34" s="32" t="str">
        <f t="shared" si="73"/>
        <v/>
      </c>
      <c r="K34" s="31" t="str">
        <f t="shared" si="74"/>
        <v/>
      </c>
      <c r="L34" s="151" t="str">
        <f t="shared" si="75"/>
        <v/>
      </c>
      <c r="M34" s="146">
        <f t="shared" si="76"/>
        <v>0</v>
      </c>
      <c r="N34" s="2" t="str">
        <f t="shared" si="77"/>
        <v/>
      </c>
      <c r="O34" s="38"/>
      <c r="P34" s="38">
        <f t="shared" si="25"/>
        <v>2.0024000000000015</v>
      </c>
      <c r="Q34" s="38">
        <f t="shared" si="3"/>
        <v>0.16616812960595151</v>
      </c>
      <c r="R34" s="38"/>
      <c r="S34" s="38"/>
      <c r="T34" s="38">
        <f t="shared" si="26"/>
        <v>3.4775999999999985</v>
      </c>
      <c r="U34" s="38">
        <f t="shared" si="4"/>
        <v>0.18870236824536021</v>
      </c>
      <c r="V34" s="38"/>
      <c r="W34" s="38" t="e">
        <f t="shared" si="45"/>
        <v>#N/A</v>
      </c>
      <c r="X34" s="38"/>
      <c r="Y34" s="58"/>
      <c r="Z34" s="38"/>
      <c r="AA34" s="65"/>
      <c r="AB34" s="33"/>
      <c r="AC34" s="41">
        <f t="shared" si="27"/>
        <v>0</v>
      </c>
      <c r="AD34" s="6" t="e">
        <f t="shared" si="28"/>
        <v>#N/A</v>
      </c>
      <c r="AE34" s="6" t="e">
        <f t="shared" si="29"/>
        <v>#N/A</v>
      </c>
      <c r="AF34" s="6" t="e">
        <f t="shared" si="30"/>
        <v>#N/A</v>
      </c>
      <c r="AG34" s="43">
        <f t="shared" si="31"/>
        <v>0</v>
      </c>
      <c r="AH34" s="43" t="e">
        <f t="shared" si="32"/>
        <v>#N/A</v>
      </c>
      <c r="AI34" s="43" t="e">
        <f t="shared" si="33"/>
        <v>#N/A</v>
      </c>
      <c r="AJ34" s="125">
        <f t="shared" si="46"/>
        <v>0</v>
      </c>
      <c r="AL34" s="41">
        <f t="shared" si="6"/>
        <v>0</v>
      </c>
      <c r="AM34" s="41">
        <f t="shared" si="47"/>
        <v>0</v>
      </c>
      <c r="AN34" s="41">
        <f t="shared" si="48"/>
        <v>0</v>
      </c>
      <c r="AO34" s="41">
        <f t="shared" si="49"/>
        <v>0</v>
      </c>
      <c r="AP34" s="153">
        <f t="shared" si="34"/>
        <v>0</v>
      </c>
      <c r="AQ34" s="41">
        <f t="shared" si="50"/>
        <v>0</v>
      </c>
      <c r="AR34" s="41">
        <f t="shared" si="51"/>
        <v>0</v>
      </c>
      <c r="AS34" s="41">
        <f t="shared" si="80"/>
        <v>0</v>
      </c>
      <c r="AT34" s="45">
        <f t="shared" si="35"/>
        <v>0</v>
      </c>
      <c r="AU34" s="68">
        <f t="shared" si="36"/>
        <v>0</v>
      </c>
      <c r="AV34" s="41">
        <f t="shared" si="7"/>
        <v>0</v>
      </c>
      <c r="AW34" s="41">
        <f t="shared" si="8"/>
        <v>0</v>
      </c>
      <c r="AX34" s="41">
        <f t="shared" si="9"/>
        <v>0</v>
      </c>
      <c r="AY34" s="41">
        <f t="shared" si="37"/>
        <v>0</v>
      </c>
      <c r="AZ34" s="11">
        <f t="shared" si="53"/>
        <v>0</v>
      </c>
      <c r="BA34" s="25">
        <f t="shared" si="38"/>
        <v>0</v>
      </c>
      <c r="BB34" s="25">
        <f t="shared" si="10"/>
        <v>0</v>
      </c>
      <c r="BC34" s="25">
        <f t="shared" si="11"/>
        <v>0</v>
      </c>
      <c r="BD34" s="25">
        <f t="shared" si="12"/>
        <v>0</v>
      </c>
      <c r="BE34" s="25">
        <f t="shared" si="13"/>
        <v>0</v>
      </c>
      <c r="BF34" s="25">
        <f t="shared" si="14"/>
        <v>0</v>
      </c>
      <c r="BG34" s="25">
        <f t="shared" si="15"/>
        <v>0</v>
      </c>
      <c r="BH34" s="25">
        <f t="shared" si="16"/>
        <v>0</v>
      </c>
      <c r="BI34" s="25">
        <f t="shared" si="17"/>
        <v>0</v>
      </c>
      <c r="BJ34" s="25">
        <f t="shared" si="18"/>
        <v>0</v>
      </c>
      <c r="BK34" s="25">
        <f t="shared" si="39"/>
        <v>0</v>
      </c>
      <c r="BM34" s="25">
        <f t="shared" si="40"/>
        <v>0</v>
      </c>
      <c r="BN34" s="25">
        <f t="shared" si="41"/>
        <v>0</v>
      </c>
      <c r="BO34" s="25" t="e">
        <f t="shared" si="54"/>
        <v>#N/A</v>
      </c>
      <c r="BP34" s="25" t="e">
        <f t="shared" si="19"/>
        <v>#N/A</v>
      </c>
      <c r="BQ34" s="46">
        <f t="shared" si="20"/>
        <v>0</v>
      </c>
      <c r="BS34" s="122">
        <f t="shared" ref="BS34:BT34" si="82">BS31+1</f>
        <v>6</v>
      </c>
      <c r="BT34" s="122">
        <f t="shared" si="82"/>
        <v>7</v>
      </c>
      <c r="BU34" s="154">
        <f t="shared" si="42"/>
        <v>2.5449999999999999</v>
      </c>
      <c r="BV34" s="155">
        <f t="shared" ref="BV34" si="83">IF(ISBLANK(INDEX(B$17:B$42,BS34)),BV33,$BV$15)</f>
        <v>0</v>
      </c>
    </row>
    <row r="35" spans="1:74" ht="36" customHeight="1" x14ac:dyDescent="0.45">
      <c r="A35" s="178">
        <v>19</v>
      </c>
      <c r="B35" s="179"/>
      <c r="C35" s="179"/>
      <c r="D35" s="179"/>
      <c r="E35" s="179"/>
      <c r="F35" s="179"/>
      <c r="H35" s="148" t="str">
        <f t="shared" si="71"/>
        <v/>
      </c>
      <c r="I35" s="31" t="str">
        <f t="shared" si="72"/>
        <v/>
      </c>
      <c r="J35" s="32" t="str">
        <f t="shared" si="73"/>
        <v/>
      </c>
      <c r="K35" s="31" t="str">
        <f t="shared" si="74"/>
        <v/>
      </c>
      <c r="L35" s="151" t="str">
        <f t="shared" si="75"/>
        <v/>
      </c>
      <c r="M35" s="146">
        <f t="shared" si="76"/>
        <v>0</v>
      </c>
      <c r="N35" s="2" t="str">
        <f t="shared" si="77"/>
        <v/>
      </c>
      <c r="O35" s="38"/>
      <c r="P35" s="38">
        <f t="shared" si="25"/>
        <v>2.0096000000000016</v>
      </c>
      <c r="Q35" s="38">
        <f t="shared" si="3"/>
        <v>0.17091267547603772</v>
      </c>
      <c r="R35" s="38"/>
      <c r="S35" s="38"/>
      <c r="T35" s="38">
        <f t="shared" si="26"/>
        <v>3.4703999999999984</v>
      </c>
      <c r="U35" s="38">
        <f t="shared" si="4"/>
        <v>0.19046641135656187</v>
      </c>
      <c r="V35" s="38"/>
      <c r="W35" s="38" t="e">
        <f t="shared" si="45"/>
        <v>#N/A</v>
      </c>
      <c r="X35" s="38"/>
      <c r="Y35" s="58"/>
      <c r="Z35" s="38"/>
      <c r="AA35" s="65"/>
      <c r="AB35" s="33"/>
      <c r="AC35" s="41">
        <f t="shared" si="27"/>
        <v>0</v>
      </c>
      <c r="AD35" s="6" t="e">
        <f t="shared" si="28"/>
        <v>#N/A</v>
      </c>
      <c r="AE35" s="6" t="e">
        <f t="shared" si="29"/>
        <v>#N/A</v>
      </c>
      <c r="AF35" s="6" t="e">
        <f t="shared" si="30"/>
        <v>#N/A</v>
      </c>
      <c r="AG35" s="43">
        <f t="shared" si="31"/>
        <v>0</v>
      </c>
      <c r="AH35" s="43" t="e">
        <f t="shared" si="32"/>
        <v>#N/A</v>
      </c>
      <c r="AI35" s="43" t="e">
        <f t="shared" si="33"/>
        <v>#N/A</v>
      </c>
      <c r="AJ35" s="125">
        <f t="shared" si="46"/>
        <v>0</v>
      </c>
      <c r="AL35" s="41">
        <f t="shared" si="6"/>
        <v>0</v>
      </c>
      <c r="AM35" s="41">
        <f t="shared" si="47"/>
        <v>0</v>
      </c>
      <c r="AN35" s="41">
        <f t="shared" si="48"/>
        <v>0</v>
      </c>
      <c r="AO35" s="41">
        <f t="shared" si="49"/>
        <v>0</v>
      </c>
      <c r="AP35" s="153">
        <f t="shared" si="34"/>
        <v>0</v>
      </c>
      <c r="AQ35" s="41">
        <f t="shared" si="50"/>
        <v>0</v>
      </c>
      <c r="AR35" s="41">
        <f t="shared" si="51"/>
        <v>0</v>
      </c>
      <c r="AS35" s="41">
        <f t="shared" si="80"/>
        <v>0</v>
      </c>
      <c r="AT35" s="45">
        <f t="shared" si="35"/>
        <v>0</v>
      </c>
      <c r="AU35" s="68">
        <f t="shared" si="36"/>
        <v>0</v>
      </c>
      <c r="AV35" s="41">
        <f t="shared" si="7"/>
        <v>0</v>
      </c>
      <c r="AW35" s="41">
        <f t="shared" si="8"/>
        <v>0</v>
      </c>
      <c r="AX35" s="41">
        <f t="shared" si="9"/>
        <v>0</v>
      </c>
      <c r="AY35" s="41">
        <f t="shared" si="37"/>
        <v>0</v>
      </c>
      <c r="AZ35" s="11">
        <f t="shared" si="53"/>
        <v>0</v>
      </c>
      <c r="BA35" s="25">
        <f t="shared" si="38"/>
        <v>0</v>
      </c>
      <c r="BB35" s="25">
        <f t="shared" si="10"/>
        <v>0</v>
      </c>
      <c r="BC35" s="25">
        <f t="shared" si="11"/>
        <v>0</v>
      </c>
      <c r="BD35" s="25">
        <f t="shared" si="12"/>
        <v>0</v>
      </c>
      <c r="BE35" s="25">
        <f t="shared" si="13"/>
        <v>0</v>
      </c>
      <c r="BF35" s="25">
        <f t="shared" si="14"/>
        <v>0</v>
      </c>
      <c r="BG35" s="25">
        <f t="shared" si="15"/>
        <v>0</v>
      </c>
      <c r="BH35" s="25">
        <f t="shared" si="16"/>
        <v>0</v>
      </c>
      <c r="BI35" s="25">
        <f t="shared" si="17"/>
        <v>0</v>
      </c>
      <c r="BJ35" s="25">
        <f t="shared" si="18"/>
        <v>0</v>
      </c>
      <c r="BK35" s="25">
        <f t="shared" si="39"/>
        <v>0</v>
      </c>
      <c r="BM35" s="25">
        <f t="shared" si="40"/>
        <v>0</v>
      </c>
      <c r="BN35" s="25">
        <f t="shared" si="41"/>
        <v>0</v>
      </c>
      <c r="BO35" s="25" t="e">
        <f t="shared" si="54"/>
        <v>#N/A</v>
      </c>
      <c r="BP35" s="25" t="e">
        <f t="shared" si="19"/>
        <v>#N/A</v>
      </c>
      <c r="BQ35" s="46">
        <f t="shared" si="20"/>
        <v>0</v>
      </c>
      <c r="BS35" s="122">
        <f t="shared" ref="BS35:BT35" si="84">BS32+1</f>
        <v>7</v>
      </c>
      <c r="BT35" s="122">
        <f t="shared" si="84"/>
        <v>6</v>
      </c>
      <c r="BU35" s="154">
        <f t="shared" si="42"/>
        <v>2.5449999999999999</v>
      </c>
      <c r="BV35" s="155">
        <f t="shared" ref="BV35" si="85">INDEX(N$17:N$42,BS35)</f>
        <v>-0.34499999999999997</v>
      </c>
    </row>
    <row r="36" spans="1:74" ht="36" customHeight="1" x14ac:dyDescent="0.45">
      <c r="A36" s="180">
        <v>20</v>
      </c>
      <c r="B36" s="181"/>
      <c r="C36" s="181"/>
      <c r="D36" s="181"/>
      <c r="E36" s="181"/>
      <c r="F36" s="181"/>
      <c r="H36" s="148" t="str">
        <f t="shared" si="71"/>
        <v/>
      </c>
      <c r="I36" s="31" t="str">
        <f t="shared" si="72"/>
        <v/>
      </c>
      <c r="J36" s="32" t="str">
        <f t="shared" si="73"/>
        <v/>
      </c>
      <c r="K36" s="31" t="str">
        <f t="shared" si="74"/>
        <v/>
      </c>
      <c r="L36" s="151" t="str">
        <f t="shared" si="75"/>
        <v/>
      </c>
      <c r="M36" s="146">
        <f t="shared" si="76"/>
        <v>0</v>
      </c>
      <c r="N36" s="2" t="str">
        <f t="shared" si="77"/>
        <v/>
      </c>
      <c r="O36" s="38"/>
      <c r="P36" s="38">
        <f t="shared" si="25"/>
        <v>2.0168000000000017</v>
      </c>
      <c r="Q36" s="38">
        <f t="shared" si="3"/>
        <v>0.175525245268559</v>
      </c>
      <c r="R36" s="38"/>
      <c r="S36" s="38"/>
      <c r="T36" s="38">
        <f t="shared" si="26"/>
        <v>3.4631999999999983</v>
      </c>
      <c r="U36" s="38">
        <f t="shared" si="4"/>
        <v>0.19215022757176609</v>
      </c>
      <c r="V36" s="38"/>
      <c r="W36" s="38" t="e">
        <f t="shared" si="45"/>
        <v>#N/A</v>
      </c>
      <c r="X36" s="38"/>
      <c r="Y36" s="58"/>
      <c r="Z36" s="38"/>
      <c r="AA36" s="65"/>
      <c r="AB36" s="33"/>
      <c r="AC36" s="41">
        <f t="shared" si="27"/>
        <v>0</v>
      </c>
      <c r="AD36" s="6" t="e">
        <f t="shared" si="28"/>
        <v>#N/A</v>
      </c>
      <c r="AE36" s="6" t="e">
        <f t="shared" si="29"/>
        <v>#N/A</v>
      </c>
      <c r="AF36" s="6" t="e">
        <f t="shared" si="30"/>
        <v>#N/A</v>
      </c>
      <c r="AG36" s="43">
        <f t="shared" si="31"/>
        <v>0</v>
      </c>
      <c r="AH36" s="43" t="e">
        <f t="shared" si="32"/>
        <v>#N/A</v>
      </c>
      <c r="AI36" s="43" t="e">
        <f t="shared" si="33"/>
        <v>#N/A</v>
      </c>
      <c r="AJ36" s="125">
        <f t="shared" si="46"/>
        <v>0</v>
      </c>
      <c r="AL36" s="41">
        <f t="shared" si="6"/>
        <v>0</v>
      </c>
      <c r="AM36" s="41">
        <f t="shared" si="47"/>
        <v>0</v>
      </c>
      <c r="AN36" s="41">
        <f t="shared" si="48"/>
        <v>0</v>
      </c>
      <c r="AO36" s="41">
        <f t="shared" si="49"/>
        <v>0</v>
      </c>
      <c r="AP36" s="153">
        <f t="shared" si="34"/>
        <v>0</v>
      </c>
      <c r="AQ36" s="41">
        <f t="shared" si="50"/>
        <v>0</v>
      </c>
      <c r="AR36" s="41">
        <f t="shared" si="51"/>
        <v>0</v>
      </c>
      <c r="AS36" s="41">
        <f t="shared" si="80"/>
        <v>0</v>
      </c>
      <c r="AT36" s="45">
        <f t="shared" si="35"/>
        <v>0</v>
      </c>
      <c r="AU36" s="68">
        <f t="shared" si="36"/>
        <v>0</v>
      </c>
      <c r="AV36" s="41">
        <f t="shared" si="7"/>
        <v>0</v>
      </c>
      <c r="AW36" s="41">
        <f t="shared" si="8"/>
        <v>0</v>
      </c>
      <c r="AX36" s="41">
        <f t="shared" si="9"/>
        <v>0</v>
      </c>
      <c r="AY36" s="41">
        <f t="shared" si="37"/>
        <v>0</v>
      </c>
      <c r="AZ36" s="11">
        <f t="shared" si="53"/>
        <v>0</v>
      </c>
      <c r="BA36" s="25">
        <f t="shared" si="38"/>
        <v>0</v>
      </c>
      <c r="BB36" s="25">
        <f t="shared" si="10"/>
        <v>0</v>
      </c>
      <c r="BC36" s="25">
        <f t="shared" si="11"/>
        <v>0</v>
      </c>
      <c r="BD36" s="25">
        <f t="shared" si="12"/>
        <v>0</v>
      </c>
      <c r="BE36" s="25">
        <f t="shared" si="13"/>
        <v>0</v>
      </c>
      <c r="BF36" s="25">
        <f t="shared" si="14"/>
        <v>0</v>
      </c>
      <c r="BG36" s="25">
        <f t="shared" si="15"/>
        <v>0</v>
      </c>
      <c r="BH36" s="25">
        <f t="shared" si="16"/>
        <v>0</v>
      </c>
      <c r="BI36" s="25">
        <f t="shared" si="17"/>
        <v>0</v>
      </c>
      <c r="BJ36" s="25">
        <f t="shared" si="18"/>
        <v>0</v>
      </c>
      <c r="BK36" s="25">
        <f t="shared" si="39"/>
        <v>0</v>
      </c>
      <c r="BM36" s="25">
        <f t="shared" si="40"/>
        <v>0</v>
      </c>
      <c r="BN36" s="25">
        <f t="shared" si="41"/>
        <v>0</v>
      </c>
      <c r="BO36" s="25" t="e">
        <f t="shared" si="54"/>
        <v>#N/A</v>
      </c>
      <c r="BP36" s="25" t="e">
        <f t="shared" si="19"/>
        <v>#N/A</v>
      </c>
      <c r="BQ36" s="46">
        <f t="shared" si="20"/>
        <v>0</v>
      </c>
      <c r="BS36" s="122">
        <f t="shared" ref="BS36:BT36" si="86">BS33+1</f>
        <v>7</v>
      </c>
      <c r="BT36" s="122">
        <f t="shared" si="86"/>
        <v>8</v>
      </c>
      <c r="BU36" s="154">
        <f t="shared" si="42"/>
        <v>2.6550000000000002</v>
      </c>
      <c r="BV36" s="155">
        <f t="shared" si="43"/>
        <v>-0.34499999999999997</v>
      </c>
    </row>
    <row r="37" spans="1:74" ht="36" customHeight="1" x14ac:dyDescent="0.45">
      <c r="A37" s="178">
        <v>21</v>
      </c>
      <c r="B37" s="179"/>
      <c r="C37" s="179"/>
      <c r="D37" s="179"/>
      <c r="E37" s="179"/>
      <c r="F37" s="179"/>
      <c r="H37" s="148" t="str">
        <f t="shared" si="71"/>
        <v/>
      </c>
      <c r="I37" s="31" t="str">
        <f t="shared" si="72"/>
        <v/>
      </c>
      <c r="J37" s="32" t="str">
        <f t="shared" si="73"/>
        <v/>
      </c>
      <c r="K37" s="31" t="str">
        <f t="shared" si="74"/>
        <v/>
      </c>
      <c r="L37" s="151" t="str">
        <f t="shared" si="75"/>
        <v/>
      </c>
      <c r="M37" s="146">
        <f t="shared" si="76"/>
        <v>0</v>
      </c>
      <c r="N37" s="2" t="str">
        <f t="shared" si="77"/>
        <v/>
      </c>
      <c r="O37" s="38"/>
      <c r="P37" s="38">
        <f t="shared" si="25"/>
        <v>2.0240000000000018</v>
      </c>
      <c r="Q37" s="38">
        <f t="shared" si="3"/>
        <v>0.18001618106576056</v>
      </c>
      <c r="R37" s="38"/>
      <c r="S37" s="38"/>
      <c r="T37" s="38">
        <f t="shared" si="26"/>
        <v>3.4559999999999982</v>
      </c>
      <c r="U37" s="38">
        <f t="shared" si="4"/>
        <v>0.1937614130443398</v>
      </c>
      <c r="V37" s="38"/>
      <c r="W37" s="38" t="e">
        <f t="shared" si="45"/>
        <v>#N/A</v>
      </c>
      <c r="X37" s="38"/>
      <c r="Y37" s="58"/>
      <c r="Z37" s="38"/>
      <c r="AA37" s="65"/>
      <c r="AB37" s="33"/>
      <c r="AC37" s="41">
        <f t="shared" si="27"/>
        <v>0</v>
      </c>
      <c r="AD37" s="6" t="e">
        <f t="shared" si="28"/>
        <v>#N/A</v>
      </c>
      <c r="AE37" s="6" t="e">
        <f t="shared" si="29"/>
        <v>#N/A</v>
      </c>
      <c r="AF37" s="6" t="e">
        <f t="shared" si="30"/>
        <v>#N/A</v>
      </c>
      <c r="AG37" s="43">
        <f t="shared" si="31"/>
        <v>0</v>
      </c>
      <c r="AH37" s="43" t="e">
        <f t="shared" si="32"/>
        <v>#N/A</v>
      </c>
      <c r="AI37" s="43" t="e">
        <f t="shared" si="33"/>
        <v>#N/A</v>
      </c>
      <c r="AJ37" s="125">
        <f t="shared" si="46"/>
        <v>0</v>
      </c>
      <c r="AL37" s="41">
        <f t="shared" si="6"/>
        <v>0</v>
      </c>
      <c r="AM37" s="41">
        <f t="shared" si="47"/>
        <v>0</v>
      </c>
      <c r="AN37" s="41">
        <f t="shared" si="48"/>
        <v>0</v>
      </c>
      <c r="AO37" s="41">
        <f t="shared" si="49"/>
        <v>0</v>
      </c>
      <c r="AP37" s="153">
        <f t="shared" si="34"/>
        <v>0</v>
      </c>
      <c r="AQ37" s="41">
        <f t="shared" si="50"/>
        <v>0</v>
      </c>
      <c r="AR37" s="41">
        <f t="shared" si="51"/>
        <v>0</v>
      </c>
      <c r="AS37" s="41">
        <f t="shared" si="80"/>
        <v>0</v>
      </c>
      <c r="AT37" s="45">
        <f t="shared" si="35"/>
        <v>0</v>
      </c>
      <c r="AU37" s="68">
        <f t="shared" si="36"/>
        <v>0</v>
      </c>
      <c r="AV37" s="41">
        <f t="shared" si="7"/>
        <v>0</v>
      </c>
      <c r="AW37" s="41">
        <f t="shared" si="8"/>
        <v>0</v>
      </c>
      <c r="AX37" s="41">
        <f t="shared" si="9"/>
        <v>0</v>
      </c>
      <c r="AY37" s="41">
        <f t="shared" si="37"/>
        <v>0</v>
      </c>
      <c r="AZ37" s="11">
        <f t="shared" si="53"/>
        <v>0</v>
      </c>
      <c r="BA37" s="25">
        <f t="shared" si="38"/>
        <v>0</v>
      </c>
      <c r="BB37" s="25">
        <f t="shared" si="10"/>
        <v>0</v>
      </c>
      <c r="BC37" s="25">
        <f t="shared" si="11"/>
        <v>0</v>
      </c>
      <c r="BD37" s="25">
        <f t="shared" si="12"/>
        <v>0</v>
      </c>
      <c r="BE37" s="25">
        <f t="shared" si="13"/>
        <v>0</v>
      </c>
      <c r="BF37" s="25">
        <f t="shared" si="14"/>
        <v>0</v>
      </c>
      <c r="BG37" s="25">
        <f t="shared" si="15"/>
        <v>0</v>
      </c>
      <c r="BH37" s="25">
        <f t="shared" si="16"/>
        <v>0</v>
      </c>
      <c r="BI37" s="25">
        <f t="shared" si="17"/>
        <v>0</v>
      </c>
      <c r="BJ37" s="25">
        <f t="shared" si="18"/>
        <v>0</v>
      </c>
      <c r="BK37" s="25">
        <f t="shared" si="39"/>
        <v>0</v>
      </c>
      <c r="BM37" s="25">
        <f t="shared" si="40"/>
        <v>0</v>
      </c>
      <c r="BN37" s="25">
        <f t="shared" si="41"/>
        <v>0</v>
      </c>
      <c r="BO37" s="25" t="e">
        <f t="shared" si="54"/>
        <v>#N/A</v>
      </c>
      <c r="BP37" s="25" t="e">
        <f t="shared" si="19"/>
        <v>#N/A</v>
      </c>
      <c r="BQ37" s="46">
        <f t="shared" si="20"/>
        <v>0</v>
      </c>
      <c r="BS37" s="122">
        <f t="shared" ref="BS37:BT37" si="87">BS34+1</f>
        <v>7</v>
      </c>
      <c r="BT37" s="122">
        <f t="shared" si="87"/>
        <v>8</v>
      </c>
      <c r="BU37" s="154">
        <f t="shared" si="42"/>
        <v>2.6550000000000002</v>
      </c>
      <c r="BV37" s="155">
        <f t="shared" ref="BV37" si="88">IF(ISBLANK(INDEX(B$17:B$42,BS37)),BV36,$BV$15)</f>
        <v>0</v>
      </c>
    </row>
    <row r="38" spans="1:74" ht="36" customHeight="1" x14ac:dyDescent="0.45">
      <c r="A38" s="180">
        <v>22</v>
      </c>
      <c r="B38" s="181"/>
      <c r="C38" s="182"/>
      <c r="D38" s="182"/>
      <c r="E38" s="181"/>
      <c r="F38" s="181"/>
      <c r="H38" s="148" t="str">
        <f t="shared" si="71"/>
        <v/>
      </c>
      <c r="I38" s="31" t="str">
        <f t="shared" si="72"/>
        <v/>
      </c>
      <c r="J38" s="32" t="str">
        <f t="shared" si="73"/>
        <v/>
      </c>
      <c r="K38" s="31" t="str">
        <f t="shared" si="74"/>
        <v/>
      </c>
      <c r="L38" s="151" t="str">
        <f t="shared" si="75"/>
        <v/>
      </c>
      <c r="M38" s="146">
        <f t="shared" si="76"/>
        <v>0</v>
      </c>
      <c r="N38" s="2" t="str">
        <f t="shared" si="77"/>
        <v/>
      </c>
      <c r="O38" s="38"/>
      <c r="P38" s="38">
        <f t="shared" si="25"/>
        <v>2.0312000000000019</v>
      </c>
      <c r="Q38" s="38">
        <f t="shared" si="3"/>
        <v>0.18439454311663661</v>
      </c>
      <c r="R38" s="38"/>
      <c r="S38" s="38"/>
      <c r="T38" s="38">
        <f t="shared" si="26"/>
        <v>3.4487999999999981</v>
      </c>
      <c r="U38" s="38">
        <f t="shared" si="4"/>
        <v>0.19530650740989081</v>
      </c>
      <c r="V38" s="38"/>
      <c r="W38" s="38" t="e">
        <f t="shared" si="45"/>
        <v>#N/A</v>
      </c>
      <c r="X38" s="38"/>
      <c r="Y38" s="58"/>
      <c r="Z38" s="38"/>
      <c r="AA38" s="65"/>
      <c r="AB38" s="33"/>
      <c r="AC38" s="41">
        <f t="shared" si="27"/>
        <v>0</v>
      </c>
      <c r="AD38" s="6" t="e">
        <f t="shared" si="28"/>
        <v>#N/A</v>
      </c>
      <c r="AE38" s="6" t="e">
        <f t="shared" si="29"/>
        <v>#N/A</v>
      </c>
      <c r="AF38" s="6" t="e">
        <f t="shared" si="30"/>
        <v>#N/A</v>
      </c>
      <c r="AG38" s="43">
        <f t="shared" si="31"/>
        <v>0</v>
      </c>
      <c r="AH38" s="43" t="e">
        <f t="shared" si="32"/>
        <v>#N/A</v>
      </c>
      <c r="AI38" s="43" t="e">
        <f t="shared" si="33"/>
        <v>#N/A</v>
      </c>
      <c r="AJ38" s="125">
        <f t="shared" si="46"/>
        <v>0</v>
      </c>
      <c r="AL38" s="41">
        <f t="shared" si="6"/>
        <v>0</v>
      </c>
      <c r="AM38" s="41">
        <f t="shared" si="47"/>
        <v>0</v>
      </c>
      <c r="AN38" s="41">
        <f t="shared" si="48"/>
        <v>0</v>
      </c>
      <c r="AO38" s="41">
        <f t="shared" si="49"/>
        <v>0</v>
      </c>
      <c r="AP38" s="153">
        <f t="shared" si="34"/>
        <v>0</v>
      </c>
      <c r="AQ38" s="41">
        <f t="shared" si="50"/>
        <v>0</v>
      </c>
      <c r="AR38" s="41">
        <f t="shared" si="51"/>
        <v>0</v>
      </c>
      <c r="AS38" s="41">
        <f t="shared" si="80"/>
        <v>0</v>
      </c>
      <c r="AT38" s="45">
        <f t="shared" si="35"/>
        <v>0</v>
      </c>
      <c r="AU38" s="68">
        <f t="shared" si="36"/>
        <v>0</v>
      </c>
      <c r="AV38" s="41">
        <f t="shared" si="7"/>
        <v>0</v>
      </c>
      <c r="AW38" s="41">
        <f t="shared" si="8"/>
        <v>0</v>
      </c>
      <c r="AX38" s="41">
        <f t="shared" si="9"/>
        <v>0</v>
      </c>
      <c r="AY38" s="41">
        <f t="shared" si="37"/>
        <v>0</v>
      </c>
      <c r="AZ38" s="11">
        <f t="shared" si="53"/>
        <v>0</v>
      </c>
      <c r="BA38" s="25">
        <f t="shared" si="38"/>
        <v>0</v>
      </c>
      <c r="BB38" s="25">
        <f t="shared" si="10"/>
        <v>0</v>
      </c>
      <c r="BC38" s="25">
        <f t="shared" si="11"/>
        <v>0</v>
      </c>
      <c r="BD38" s="25">
        <f t="shared" si="12"/>
        <v>0</v>
      </c>
      <c r="BE38" s="25">
        <f t="shared" si="13"/>
        <v>0</v>
      </c>
      <c r="BF38" s="25">
        <f t="shared" si="14"/>
        <v>0</v>
      </c>
      <c r="BG38" s="25">
        <f t="shared" si="15"/>
        <v>0</v>
      </c>
      <c r="BH38" s="25">
        <f t="shared" si="16"/>
        <v>0</v>
      </c>
      <c r="BI38" s="25">
        <f t="shared" si="17"/>
        <v>0</v>
      </c>
      <c r="BJ38" s="25">
        <f t="shared" si="18"/>
        <v>0</v>
      </c>
      <c r="BK38" s="25">
        <f t="shared" si="39"/>
        <v>0</v>
      </c>
      <c r="BM38" s="25">
        <f t="shared" si="40"/>
        <v>0</v>
      </c>
      <c r="BN38" s="25">
        <f t="shared" si="41"/>
        <v>0</v>
      </c>
      <c r="BO38" s="25" t="e">
        <f t="shared" si="54"/>
        <v>#N/A</v>
      </c>
      <c r="BP38" s="25" t="e">
        <f t="shared" si="19"/>
        <v>#N/A</v>
      </c>
      <c r="BQ38" s="46">
        <f t="shared" si="20"/>
        <v>0</v>
      </c>
      <c r="BS38" s="122">
        <f t="shared" ref="BS38:BT38" si="89">BS35+1</f>
        <v>8</v>
      </c>
      <c r="BT38" s="122">
        <f t="shared" si="89"/>
        <v>7</v>
      </c>
      <c r="BU38" s="154">
        <f t="shared" si="42"/>
        <v>2.6550000000000002</v>
      </c>
      <c r="BV38" s="155">
        <f t="shared" ref="BV38" si="90">INDEX(N$17:N$42,BS38)</f>
        <v>-0.33500000000000002</v>
      </c>
    </row>
    <row r="39" spans="1:74" ht="36" customHeight="1" x14ac:dyDescent="0.45">
      <c r="A39" s="178">
        <v>23</v>
      </c>
      <c r="B39" s="179"/>
      <c r="C39" s="179"/>
      <c r="D39" s="179"/>
      <c r="E39" s="179"/>
      <c r="F39" s="179"/>
      <c r="H39" s="148" t="str">
        <f t="shared" si="71"/>
        <v/>
      </c>
      <c r="I39" s="31" t="str">
        <f t="shared" si="72"/>
        <v/>
      </c>
      <c r="J39" s="32" t="str">
        <f t="shared" si="73"/>
        <v/>
      </c>
      <c r="K39" s="31" t="str">
        <f t="shared" si="74"/>
        <v/>
      </c>
      <c r="L39" s="151" t="str">
        <f t="shared" si="75"/>
        <v/>
      </c>
      <c r="M39" s="146">
        <f t="shared" si="76"/>
        <v>0</v>
      </c>
      <c r="N39" s="2" t="str">
        <f t="shared" si="77"/>
        <v/>
      </c>
      <c r="O39" s="38"/>
      <c r="P39" s="38">
        <f t="shared" si="25"/>
        <v>2.038400000000002</v>
      </c>
      <c r="Q39" s="38">
        <f t="shared" si="3"/>
        <v>0.18866832166325428</v>
      </c>
      <c r="R39" s="38"/>
      <c r="S39" s="38"/>
      <c r="T39" s="38">
        <f t="shared" si="26"/>
        <v>3.441599999999998</v>
      </c>
      <c r="U39" s="38">
        <f t="shared" si="4"/>
        <v>0.1967911832783481</v>
      </c>
      <c r="V39" s="38"/>
      <c r="W39" s="38" t="e">
        <f t="shared" si="45"/>
        <v>#N/A</v>
      </c>
      <c r="X39" s="38"/>
      <c r="Y39" s="58"/>
      <c r="Z39" s="38"/>
      <c r="AA39" s="65"/>
      <c r="AB39" s="33"/>
      <c r="AC39" s="41">
        <f t="shared" si="27"/>
        <v>0</v>
      </c>
      <c r="AD39" s="6" t="e">
        <f t="shared" si="28"/>
        <v>#N/A</v>
      </c>
      <c r="AE39" s="6" t="e">
        <f t="shared" si="29"/>
        <v>#N/A</v>
      </c>
      <c r="AF39" s="6" t="e">
        <f t="shared" si="30"/>
        <v>#N/A</v>
      </c>
      <c r="AG39" s="43">
        <f t="shared" si="31"/>
        <v>0</v>
      </c>
      <c r="AH39" s="43" t="e">
        <f t="shared" si="32"/>
        <v>#N/A</v>
      </c>
      <c r="AI39" s="43" t="e">
        <f t="shared" si="33"/>
        <v>#N/A</v>
      </c>
      <c r="AJ39" s="125">
        <f t="shared" si="46"/>
        <v>0</v>
      </c>
      <c r="AL39" s="41">
        <f t="shared" si="6"/>
        <v>0</v>
      </c>
      <c r="AM39" s="41">
        <f t="shared" si="47"/>
        <v>0</v>
      </c>
      <c r="AN39" s="41">
        <f t="shared" si="48"/>
        <v>0</v>
      </c>
      <c r="AO39" s="41">
        <f t="shared" si="49"/>
        <v>0</v>
      </c>
      <c r="AP39" s="153">
        <f t="shared" si="34"/>
        <v>0</v>
      </c>
      <c r="AQ39" s="41">
        <f t="shared" si="50"/>
        <v>0</v>
      </c>
      <c r="AR39" s="41">
        <f t="shared" si="51"/>
        <v>0</v>
      </c>
      <c r="AS39" s="41">
        <f t="shared" si="80"/>
        <v>0</v>
      </c>
      <c r="AT39" s="45">
        <f t="shared" si="35"/>
        <v>0</v>
      </c>
      <c r="AU39" s="68">
        <f t="shared" si="36"/>
        <v>0</v>
      </c>
      <c r="AV39" s="41">
        <f t="shared" si="7"/>
        <v>0</v>
      </c>
      <c r="AW39" s="41">
        <f t="shared" si="8"/>
        <v>0</v>
      </c>
      <c r="AX39" s="41">
        <f t="shared" si="9"/>
        <v>0</v>
      </c>
      <c r="AY39" s="41">
        <f t="shared" si="37"/>
        <v>0</v>
      </c>
      <c r="AZ39" s="11">
        <f t="shared" si="53"/>
        <v>0</v>
      </c>
      <c r="BA39" s="25">
        <f t="shared" si="38"/>
        <v>0</v>
      </c>
      <c r="BB39" s="25">
        <f t="shared" si="10"/>
        <v>0</v>
      </c>
      <c r="BC39" s="25">
        <f t="shared" si="11"/>
        <v>0</v>
      </c>
      <c r="BD39" s="25">
        <f t="shared" si="12"/>
        <v>0</v>
      </c>
      <c r="BE39" s="25">
        <f t="shared" si="13"/>
        <v>0</v>
      </c>
      <c r="BF39" s="25">
        <f t="shared" si="14"/>
        <v>0</v>
      </c>
      <c r="BG39" s="25">
        <f t="shared" si="15"/>
        <v>0</v>
      </c>
      <c r="BH39" s="25">
        <f t="shared" si="16"/>
        <v>0</v>
      </c>
      <c r="BI39" s="25">
        <f t="shared" si="17"/>
        <v>0</v>
      </c>
      <c r="BJ39" s="25">
        <f t="shared" si="18"/>
        <v>0</v>
      </c>
      <c r="BK39" s="25">
        <f t="shared" si="39"/>
        <v>0</v>
      </c>
      <c r="BM39" s="25">
        <f t="shared" si="40"/>
        <v>0</v>
      </c>
      <c r="BN39" s="25">
        <f t="shared" si="41"/>
        <v>0</v>
      </c>
      <c r="BO39" s="25" t="e">
        <f t="shared" si="54"/>
        <v>#N/A</v>
      </c>
      <c r="BP39" s="25" t="e">
        <f t="shared" si="19"/>
        <v>#N/A</v>
      </c>
      <c r="BQ39" s="46">
        <f t="shared" si="20"/>
        <v>0</v>
      </c>
      <c r="BS39" s="122">
        <f t="shared" ref="BS39:BT39" si="91">BS36+1</f>
        <v>8</v>
      </c>
      <c r="BT39" s="122">
        <f t="shared" si="91"/>
        <v>9</v>
      </c>
      <c r="BU39" s="154">
        <f t="shared" si="42"/>
        <v>2.7649999999999997</v>
      </c>
      <c r="BV39" s="155">
        <f t="shared" si="43"/>
        <v>-0.33500000000000002</v>
      </c>
    </row>
    <row r="40" spans="1:74" ht="36" customHeight="1" x14ac:dyDescent="0.45">
      <c r="A40" s="180">
        <v>24</v>
      </c>
      <c r="B40" s="181"/>
      <c r="C40" s="181"/>
      <c r="D40" s="181"/>
      <c r="E40" s="181"/>
      <c r="F40" s="181"/>
      <c r="H40" s="148" t="str">
        <f t="shared" si="71"/>
        <v/>
      </c>
      <c r="I40" s="31" t="str">
        <f t="shared" si="72"/>
        <v/>
      </c>
      <c r="J40" s="32" t="str">
        <f t="shared" si="73"/>
        <v/>
      </c>
      <c r="K40" s="31" t="str">
        <f t="shared" si="74"/>
        <v/>
      </c>
      <c r="L40" s="151" t="str">
        <f t="shared" si="75"/>
        <v/>
      </c>
      <c r="M40" s="146">
        <f t="shared" si="76"/>
        <v>0</v>
      </c>
      <c r="N40" s="2" t="str">
        <f t="shared" si="77"/>
        <v/>
      </c>
      <c r="O40" s="38"/>
      <c r="P40" s="38">
        <f t="shared" si="25"/>
        <v>2.0456000000000021</v>
      </c>
      <c r="Q40" s="38">
        <f t="shared" si="3"/>
        <v>0.19284460579540177</v>
      </c>
      <c r="R40" s="38"/>
      <c r="S40" s="38"/>
      <c r="T40" s="38">
        <f t="shared" si="26"/>
        <v>3.4343999999999979</v>
      </c>
      <c r="U40" s="38">
        <f t="shared" si="4"/>
        <v>0.19822039478781078</v>
      </c>
      <c r="V40" s="38"/>
      <c r="W40" s="38" t="e">
        <f t="shared" si="45"/>
        <v>#N/A</v>
      </c>
      <c r="X40" s="38"/>
      <c r="Y40" s="58"/>
      <c r="Z40" s="38"/>
      <c r="AA40" s="65"/>
      <c r="AB40" s="33"/>
      <c r="AC40" s="41">
        <f t="shared" si="27"/>
        <v>0</v>
      </c>
      <c r="AD40" s="6" t="e">
        <f t="shared" si="28"/>
        <v>#N/A</v>
      </c>
      <c r="AE40" s="6" t="e">
        <f t="shared" si="29"/>
        <v>#N/A</v>
      </c>
      <c r="AF40" s="6" t="e">
        <f t="shared" si="30"/>
        <v>#N/A</v>
      </c>
      <c r="AG40" s="43">
        <f t="shared" si="31"/>
        <v>0</v>
      </c>
      <c r="AH40" s="43" t="e">
        <f t="shared" si="32"/>
        <v>#N/A</v>
      </c>
      <c r="AI40" s="43" t="e">
        <f t="shared" si="33"/>
        <v>#N/A</v>
      </c>
      <c r="AJ40" s="125">
        <f t="shared" si="46"/>
        <v>0</v>
      </c>
      <c r="AL40" s="41">
        <f t="shared" si="6"/>
        <v>0</v>
      </c>
      <c r="AM40" s="41">
        <f t="shared" si="47"/>
        <v>0</v>
      </c>
      <c r="AN40" s="41">
        <f t="shared" si="48"/>
        <v>0</v>
      </c>
      <c r="AO40" s="41">
        <f t="shared" si="49"/>
        <v>0</v>
      </c>
      <c r="AP40" s="153">
        <f t="shared" si="34"/>
        <v>0</v>
      </c>
      <c r="AQ40" s="41">
        <f t="shared" si="50"/>
        <v>0</v>
      </c>
      <c r="AR40" s="41">
        <f t="shared" si="51"/>
        <v>0</v>
      </c>
      <c r="AS40" s="41">
        <f t="shared" si="52"/>
        <v>0</v>
      </c>
      <c r="AT40" s="45">
        <f t="shared" si="35"/>
        <v>0</v>
      </c>
      <c r="AU40" s="68">
        <f t="shared" si="36"/>
        <v>0</v>
      </c>
      <c r="AV40" s="41">
        <f t="shared" si="7"/>
        <v>0</v>
      </c>
      <c r="AW40" s="41">
        <f t="shared" si="8"/>
        <v>0</v>
      </c>
      <c r="AX40" s="41">
        <f t="shared" si="9"/>
        <v>0</v>
      </c>
      <c r="AY40" s="41">
        <f t="shared" si="37"/>
        <v>0</v>
      </c>
      <c r="AZ40" s="11">
        <f t="shared" si="53"/>
        <v>0</v>
      </c>
      <c r="BA40" s="25">
        <f t="shared" si="38"/>
        <v>0</v>
      </c>
      <c r="BB40" s="25">
        <f t="shared" si="10"/>
        <v>0</v>
      </c>
      <c r="BC40" s="25">
        <f t="shared" si="11"/>
        <v>0</v>
      </c>
      <c r="BD40" s="25">
        <f t="shared" si="12"/>
        <v>0</v>
      </c>
      <c r="BE40" s="25">
        <f t="shared" si="13"/>
        <v>0</v>
      </c>
      <c r="BF40" s="25">
        <f t="shared" si="14"/>
        <v>0</v>
      </c>
      <c r="BG40" s="25">
        <f t="shared" si="15"/>
        <v>0</v>
      </c>
      <c r="BH40" s="25">
        <f t="shared" si="16"/>
        <v>0</v>
      </c>
      <c r="BI40" s="25">
        <f t="shared" si="17"/>
        <v>0</v>
      </c>
      <c r="BJ40" s="25">
        <f t="shared" si="18"/>
        <v>0</v>
      </c>
      <c r="BK40" s="25">
        <f t="shared" si="39"/>
        <v>0</v>
      </c>
      <c r="BM40" s="25">
        <f t="shared" si="40"/>
        <v>0</v>
      </c>
      <c r="BN40" s="25">
        <f t="shared" si="41"/>
        <v>0</v>
      </c>
      <c r="BO40" s="25" t="e">
        <f t="shared" si="54"/>
        <v>#N/A</v>
      </c>
      <c r="BP40" s="25" t="e">
        <f t="shared" si="19"/>
        <v>#N/A</v>
      </c>
      <c r="BQ40" s="46">
        <f t="shared" si="20"/>
        <v>0</v>
      </c>
      <c r="BS40" s="122">
        <f t="shared" ref="BS40:BT40" si="92">BS37+1</f>
        <v>8</v>
      </c>
      <c r="BT40" s="122">
        <f t="shared" si="92"/>
        <v>9</v>
      </c>
      <c r="BU40" s="154">
        <f t="shared" si="42"/>
        <v>2.7649999999999997</v>
      </c>
      <c r="BV40" s="155">
        <f t="shared" ref="BV40" si="93">IF(ISBLANK(INDEX(B$17:B$42,BS40)),BV39,$BV$15)</f>
        <v>0</v>
      </c>
    </row>
    <row r="41" spans="1:74" ht="36" customHeight="1" x14ac:dyDescent="0.45">
      <c r="A41" s="178">
        <v>25</v>
      </c>
      <c r="B41" s="179"/>
      <c r="C41" s="179"/>
      <c r="D41" s="179"/>
      <c r="E41" s="179"/>
      <c r="F41" s="179"/>
      <c r="H41" s="148" t="str">
        <f t="shared" si="71"/>
        <v/>
      </c>
      <c r="I41" s="31" t="str">
        <f t="shared" si="72"/>
        <v/>
      </c>
      <c r="J41" s="32" t="str">
        <f t="shared" si="73"/>
        <v/>
      </c>
      <c r="K41" s="31" t="str">
        <f t="shared" si="74"/>
        <v/>
      </c>
      <c r="L41" s="151" t="str">
        <f t="shared" si="75"/>
        <v/>
      </c>
      <c r="M41" s="146">
        <f t="shared" si="76"/>
        <v>0</v>
      </c>
      <c r="N41" s="2" t="str">
        <f t="shared" si="77"/>
        <v/>
      </c>
      <c r="O41" s="38"/>
      <c r="P41" s="38">
        <f t="shared" si="25"/>
        <v>2.0528000000000022</v>
      </c>
      <c r="Q41" s="38">
        <f t="shared" si="3"/>
        <v>0.19692971952851113</v>
      </c>
      <c r="R41" s="38"/>
      <c r="S41" s="38"/>
      <c r="T41" s="38">
        <f t="shared" si="26"/>
        <v>3.4271999999999978</v>
      </c>
      <c r="U41" s="38">
        <f t="shared" si="4"/>
        <v>0.19959849543845073</v>
      </c>
      <c r="V41" s="38"/>
      <c r="W41" s="38" t="e">
        <f t="shared" si="45"/>
        <v>#N/A</v>
      </c>
      <c r="X41" s="38"/>
      <c r="Y41" s="58"/>
      <c r="Z41" s="38"/>
      <c r="AA41" s="65"/>
      <c r="AB41" s="33"/>
      <c r="AC41" s="41">
        <f t="shared" si="27"/>
        <v>0</v>
      </c>
      <c r="AD41" s="6" t="e">
        <f t="shared" si="28"/>
        <v>#N/A</v>
      </c>
      <c r="AE41" s="6" t="e">
        <f t="shared" si="29"/>
        <v>#N/A</v>
      </c>
      <c r="AF41" s="6" t="e">
        <f t="shared" si="30"/>
        <v>#N/A</v>
      </c>
      <c r="AG41" s="43">
        <f t="shared" si="31"/>
        <v>0</v>
      </c>
      <c r="AH41" s="43" t="e">
        <f t="shared" si="32"/>
        <v>#N/A</v>
      </c>
      <c r="AI41" s="43" t="e">
        <f t="shared" si="33"/>
        <v>#N/A</v>
      </c>
      <c r="AJ41" s="125">
        <f t="shared" si="46"/>
        <v>0</v>
      </c>
      <c r="AL41" s="41">
        <f t="shared" si="6"/>
        <v>0</v>
      </c>
      <c r="AM41" s="41">
        <f t="shared" si="47"/>
        <v>0</v>
      </c>
      <c r="AN41" s="41">
        <f t="shared" si="48"/>
        <v>0</v>
      </c>
      <c r="AO41" s="41">
        <f t="shared" si="49"/>
        <v>0</v>
      </c>
      <c r="AP41" s="153">
        <f t="shared" si="34"/>
        <v>0</v>
      </c>
      <c r="AQ41" s="41">
        <f t="shared" si="50"/>
        <v>0</v>
      </c>
      <c r="AR41" s="41">
        <f t="shared" si="51"/>
        <v>0</v>
      </c>
      <c r="AS41" s="41">
        <f t="shared" si="52"/>
        <v>0</v>
      </c>
      <c r="AT41" s="45">
        <f t="shared" si="35"/>
        <v>0</v>
      </c>
      <c r="AU41" s="68">
        <f t="shared" si="36"/>
        <v>0</v>
      </c>
      <c r="AV41" s="41">
        <f t="shared" si="7"/>
        <v>0</v>
      </c>
      <c r="AW41" s="41">
        <f t="shared" si="8"/>
        <v>0</v>
      </c>
      <c r="AX41" s="41">
        <f t="shared" si="9"/>
        <v>0</v>
      </c>
      <c r="AY41" s="41">
        <f t="shared" si="37"/>
        <v>0</v>
      </c>
      <c r="AZ41" s="11">
        <f t="shared" si="53"/>
        <v>0</v>
      </c>
      <c r="BA41" s="25">
        <f t="shared" si="38"/>
        <v>0</v>
      </c>
      <c r="BB41" s="25">
        <f t="shared" si="10"/>
        <v>0</v>
      </c>
      <c r="BC41" s="25">
        <f t="shared" si="11"/>
        <v>0</v>
      </c>
      <c r="BD41" s="25">
        <f t="shared" si="12"/>
        <v>0</v>
      </c>
      <c r="BE41" s="25">
        <f t="shared" si="13"/>
        <v>0</v>
      </c>
      <c r="BF41" s="25">
        <f t="shared" si="14"/>
        <v>0</v>
      </c>
      <c r="BG41" s="25">
        <f t="shared" si="15"/>
        <v>0</v>
      </c>
      <c r="BH41" s="25">
        <f t="shared" si="16"/>
        <v>0</v>
      </c>
      <c r="BI41" s="25">
        <f t="shared" si="17"/>
        <v>0</v>
      </c>
      <c r="BJ41" s="25">
        <f t="shared" si="18"/>
        <v>0</v>
      </c>
      <c r="BK41" s="25">
        <f t="shared" si="39"/>
        <v>0</v>
      </c>
      <c r="BM41" s="25">
        <f t="shared" si="40"/>
        <v>0</v>
      </c>
      <c r="BN41" s="25">
        <f t="shared" si="41"/>
        <v>0</v>
      </c>
      <c r="BO41" s="25" t="e">
        <f t="shared" si="54"/>
        <v>#N/A</v>
      </c>
      <c r="BP41" s="25" t="e">
        <f t="shared" si="19"/>
        <v>#N/A</v>
      </c>
      <c r="BQ41" s="46">
        <f t="shared" si="20"/>
        <v>0</v>
      </c>
      <c r="BS41" s="122">
        <f t="shared" ref="BS41:BT41" si="94">BS38+1</f>
        <v>9</v>
      </c>
      <c r="BT41" s="122">
        <f t="shared" si="94"/>
        <v>8</v>
      </c>
      <c r="BU41" s="154">
        <f t="shared" si="42"/>
        <v>2.7649999999999997</v>
      </c>
      <c r="BV41" s="155">
        <f t="shared" ref="BV41" si="95">INDEX(N$17:N$42,BS41)</f>
        <v>-0.35</v>
      </c>
    </row>
    <row r="42" spans="1:74" ht="36" customHeight="1" x14ac:dyDescent="0.45">
      <c r="A42" s="180">
        <v>26</v>
      </c>
      <c r="B42" s="181"/>
      <c r="C42" s="181"/>
      <c r="D42" s="181"/>
      <c r="E42" s="181"/>
      <c r="F42" s="181"/>
      <c r="H42" s="148" t="str">
        <f t="shared" si="71"/>
        <v/>
      </c>
      <c r="I42" s="31" t="str">
        <f t="shared" si="72"/>
        <v/>
      </c>
      <c r="J42" s="32" t="str">
        <f t="shared" si="73"/>
        <v/>
      </c>
      <c r="K42" s="31" t="str">
        <f t="shared" si="74"/>
        <v/>
      </c>
      <c r="L42" s="151" t="str">
        <f t="shared" si="75"/>
        <v/>
      </c>
      <c r="M42" s="146">
        <f t="shared" si="76"/>
        <v>0</v>
      </c>
      <c r="N42" s="2" t="str">
        <f t="shared" si="77"/>
        <v/>
      </c>
      <c r="O42" s="38"/>
      <c r="P42" s="38">
        <f>B18</f>
        <v>2.06</v>
      </c>
      <c r="Q42" s="38">
        <f t="shared" si="3"/>
        <v>0.20092933255934736</v>
      </c>
      <c r="R42" s="38"/>
      <c r="S42" s="38"/>
      <c r="T42" s="38">
        <f>LOOKUP(2,1/(D17:D42&lt;&gt;""),B17:B42)</f>
        <v>3.42</v>
      </c>
      <c r="U42" s="38">
        <f t="shared" si="4"/>
        <v>0.20092933255934736</v>
      </c>
      <c r="V42" s="38"/>
      <c r="W42" s="38" t="e">
        <f t="shared" si="45"/>
        <v>#N/A</v>
      </c>
      <c r="X42" s="38"/>
      <c r="Y42" s="58"/>
      <c r="Z42" s="38"/>
      <c r="AA42" s="65"/>
      <c r="AB42" s="33"/>
      <c r="AC42" s="41">
        <f t="shared" si="27"/>
        <v>0</v>
      </c>
      <c r="AD42" s="6" t="e">
        <f t="shared" si="28"/>
        <v>#N/A</v>
      </c>
      <c r="AE42" s="6" t="e">
        <f t="shared" si="29"/>
        <v>#N/A</v>
      </c>
      <c r="AF42" s="6" t="e">
        <f t="shared" si="30"/>
        <v>#N/A</v>
      </c>
      <c r="AG42" s="43">
        <f t="shared" si="31"/>
        <v>0</v>
      </c>
      <c r="AH42" s="43" t="e">
        <f t="shared" si="32"/>
        <v>#N/A</v>
      </c>
      <c r="AI42" s="43" t="e">
        <f t="shared" si="33"/>
        <v>#N/A</v>
      </c>
      <c r="AJ42" s="125">
        <f t="shared" si="46"/>
        <v>0</v>
      </c>
      <c r="AL42" s="41">
        <f t="shared" si="6"/>
        <v>0</v>
      </c>
      <c r="AM42" s="41">
        <f t="shared" si="47"/>
        <v>0</v>
      </c>
      <c r="AN42" s="41">
        <f t="shared" si="48"/>
        <v>0</v>
      </c>
      <c r="AO42" s="41">
        <f t="shared" si="49"/>
        <v>0</v>
      </c>
      <c r="AP42" s="153">
        <f t="shared" si="34"/>
        <v>0</v>
      </c>
      <c r="AQ42" s="41">
        <f t="shared" si="50"/>
        <v>0</v>
      </c>
      <c r="AR42" s="41">
        <f t="shared" si="51"/>
        <v>0</v>
      </c>
      <c r="AS42" s="41">
        <f t="shared" si="52"/>
        <v>0</v>
      </c>
      <c r="AT42" s="45">
        <f t="shared" si="35"/>
        <v>0</v>
      </c>
      <c r="AU42" s="68">
        <f t="shared" si="36"/>
        <v>0</v>
      </c>
      <c r="AV42" s="41">
        <f t="shared" si="7"/>
        <v>0</v>
      </c>
      <c r="AW42" s="41">
        <f t="shared" si="8"/>
        <v>0</v>
      </c>
      <c r="AX42" s="41">
        <f t="shared" si="9"/>
        <v>0</v>
      </c>
      <c r="AY42" s="41">
        <f t="shared" si="37"/>
        <v>0</v>
      </c>
      <c r="AZ42" s="11">
        <f t="shared" si="53"/>
        <v>0</v>
      </c>
      <c r="BA42" s="25">
        <f t="shared" si="38"/>
        <v>0</v>
      </c>
      <c r="BB42" s="25">
        <f t="shared" si="10"/>
        <v>0</v>
      </c>
      <c r="BC42" s="25">
        <f t="shared" si="11"/>
        <v>0</v>
      </c>
      <c r="BD42" s="25">
        <f t="shared" si="12"/>
        <v>0</v>
      </c>
      <c r="BE42" s="25">
        <f t="shared" si="13"/>
        <v>0</v>
      </c>
      <c r="BF42" s="25">
        <f t="shared" si="14"/>
        <v>0</v>
      </c>
      <c r="BG42" s="25">
        <f t="shared" si="15"/>
        <v>0</v>
      </c>
      <c r="BH42" s="25">
        <f t="shared" si="16"/>
        <v>0</v>
      </c>
      <c r="BI42" s="25">
        <f t="shared" si="17"/>
        <v>0</v>
      </c>
      <c r="BJ42" s="25">
        <f t="shared" si="18"/>
        <v>0</v>
      </c>
      <c r="BK42" s="25">
        <f t="shared" si="39"/>
        <v>0</v>
      </c>
      <c r="BM42" s="25">
        <f t="shared" si="40"/>
        <v>0</v>
      </c>
      <c r="BN42" s="25">
        <f t="shared" si="41"/>
        <v>0</v>
      </c>
      <c r="BO42" s="25" t="e">
        <f t="shared" si="54"/>
        <v>#N/A</v>
      </c>
      <c r="BP42" s="25" t="e">
        <f t="shared" si="19"/>
        <v>#N/A</v>
      </c>
      <c r="BQ42" s="46">
        <f t="shared" si="20"/>
        <v>0</v>
      </c>
      <c r="BS42" s="122">
        <f t="shared" ref="BS42:BT42" si="96">BS39+1</f>
        <v>9</v>
      </c>
      <c r="BT42" s="122">
        <f t="shared" si="96"/>
        <v>10</v>
      </c>
      <c r="BU42" s="154">
        <f t="shared" si="42"/>
        <v>2.875</v>
      </c>
      <c r="BV42" s="155">
        <f t="shared" si="43"/>
        <v>-0.35</v>
      </c>
    </row>
    <row r="43" spans="1:74" x14ac:dyDescent="0.35">
      <c r="L43" s="46"/>
      <c r="BS43" s="122">
        <f t="shared" ref="BS43:BT43" si="97">BS40+1</f>
        <v>9</v>
      </c>
      <c r="BT43" s="122">
        <f t="shared" si="97"/>
        <v>10</v>
      </c>
      <c r="BU43" s="154">
        <f t="shared" si="42"/>
        <v>2.875</v>
      </c>
      <c r="BV43" s="155">
        <f t="shared" ref="BV43" si="98">IF(ISBLANK(INDEX(B$17:B$42,BS43)),BV42,$BV$15)</f>
        <v>0</v>
      </c>
    </row>
    <row r="44" spans="1:74" x14ac:dyDescent="0.35">
      <c r="L44" s="46"/>
      <c r="BS44" s="122">
        <f t="shared" ref="BS44:BT44" si="99">BS41+1</f>
        <v>10</v>
      </c>
      <c r="BT44" s="122">
        <f t="shared" si="99"/>
        <v>9</v>
      </c>
      <c r="BU44" s="154">
        <f t="shared" si="42"/>
        <v>2.875</v>
      </c>
      <c r="BV44" s="155">
        <f t="shared" ref="BV44" si="100">INDEX(N$17:N$42,BS44)</f>
        <v>-0.34</v>
      </c>
    </row>
    <row r="45" spans="1:74" x14ac:dyDescent="0.35">
      <c r="L45" s="46"/>
      <c r="BS45" s="122">
        <f t="shared" ref="BS45:BT45" si="101">BS42+1</f>
        <v>10</v>
      </c>
      <c r="BT45" s="122">
        <f t="shared" si="101"/>
        <v>11</v>
      </c>
      <c r="BU45" s="154">
        <f t="shared" si="42"/>
        <v>2.9850000000000003</v>
      </c>
      <c r="BV45" s="155">
        <f t="shared" si="43"/>
        <v>-0.34</v>
      </c>
    </row>
    <row r="46" spans="1:74" x14ac:dyDescent="0.35">
      <c r="L46" s="46"/>
      <c r="BS46" s="122">
        <f t="shared" ref="BS46:BT46" si="102">BS43+1</f>
        <v>10</v>
      </c>
      <c r="BT46" s="122">
        <f t="shared" si="102"/>
        <v>11</v>
      </c>
      <c r="BU46" s="154">
        <f t="shared" si="42"/>
        <v>2.9850000000000003</v>
      </c>
      <c r="BV46" s="155">
        <f t="shared" ref="BV46" si="103">IF(ISBLANK(INDEX(B$17:B$42,BS46)),BV45,$BV$15)</f>
        <v>0</v>
      </c>
    </row>
    <row r="47" spans="1:74" x14ac:dyDescent="0.35">
      <c r="L47" s="46"/>
      <c r="BS47" s="122">
        <f t="shared" ref="BS47:BT47" si="104">BS44+1</f>
        <v>11</v>
      </c>
      <c r="BT47" s="122">
        <f t="shared" si="104"/>
        <v>10</v>
      </c>
      <c r="BU47" s="154">
        <f t="shared" si="42"/>
        <v>2.9850000000000003</v>
      </c>
      <c r="BV47" s="155">
        <f t="shared" ref="BV47" si="105">INDEX(N$17:N$42,BS47)</f>
        <v>-0.34</v>
      </c>
    </row>
    <row r="48" spans="1:74" x14ac:dyDescent="0.35">
      <c r="L48" s="46"/>
      <c r="BS48" s="122">
        <f t="shared" ref="BS48:BT48" si="106">BS45+1</f>
        <v>11</v>
      </c>
      <c r="BT48" s="122">
        <f t="shared" si="106"/>
        <v>12</v>
      </c>
      <c r="BU48" s="154">
        <f t="shared" si="42"/>
        <v>3.0949999999999998</v>
      </c>
      <c r="BV48" s="155">
        <f t="shared" si="43"/>
        <v>-0.34</v>
      </c>
    </row>
    <row r="49" spans="12:74" x14ac:dyDescent="0.35">
      <c r="L49" s="46"/>
      <c r="BS49" s="122">
        <f t="shared" ref="BS49:BT49" si="107">BS46+1</f>
        <v>11</v>
      </c>
      <c r="BT49" s="122">
        <f t="shared" si="107"/>
        <v>12</v>
      </c>
      <c r="BU49" s="154">
        <f t="shared" si="42"/>
        <v>3.0949999999999998</v>
      </c>
      <c r="BV49" s="155">
        <f t="shared" ref="BV49" si="108">IF(ISBLANK(INDEX(B$17:B$42,BS49)),BV48,$BV$15)</f>
        <v>0</v>
      </c>
    </row>
    <row r="50" spans="12:74" x14ac:dyDescent="0.35">
      <c r="L50" s="46"/>
      <c r="BS50" s="122">
        <f t="shared" ref="BS50:BT50" si="109">BS47+1</f>
        <v>12</v>
      </c>
      <c r="BT50" s="122">
        <f t="shared" si="109"/>
        <v>11</v>
      </c>
      <c r="BU50" s="154">
        <f t="shared" si="42"/>
        <v>3.0949999999999998</v>
      </c>
      <c r="BV50" s="155">
        <f t="shared" ref="BV50" si="110">INDEX(N$17:N$42,BS50)</f>
        <v>-0.34</v>
      </c>
    </row>
    <row r="51" spans="12:74" x14ac:dyDescent="0.35">
      <c r="L51" s="46"/>
      <c r="BS51" s="122">
        <f t="shared" ref="BS51:BT51" si="111">BS48+1</f>
        <v>12</v>
      </c>
      <c r="BT51" s="122">
        <f t="shared" si="111"/>
        <v>13</v>
      </c>
      <c r="BU51" s="154">
        <f t="shared" si="42"/>
        <v>3.2050000000000001</v>
      </c>
      <c r="BV51" s="155">
        <f t="shared" si="43"/>
        <v>-0.34</v>
      </c>
    </row>
    <row r="52" spans="12:74" x14ac:dyDescent="0.35">
      <c r="L52" s="46"/>
      <c r="BS52" s="122">
        <f t="shared" ref="BS52:BT52" si="112">BS49+1</f>
        <v>12</v>
      </c>
      <c r="BT52" s="122">
        <f t="shared" si="112"/>
        <v>13</v>
      </c>
      <c r="BU52" s="154">
        <f t="shared" si="42"/>
        <v>3.2050000000000001</v>
      </c>
      <c r="BV52" s="155">
        <f t="shared" ref="BV52" si="113">IF(ISBLANK(INDEX(B$17:B$42,BS52)),BV51,$BV$15)</f>
        <v>0</v>
      </c>
    </row>
    <row r="53" spans="12:74" x14ac:dyDescent="0.35">
      <c r="L53" s="46"/>
      <c r="BS53" s="122">
        <f t="shared" ref="BS53:BT53" si="114">BS50+1</f>
        <v>13</v>
      </c>
      <c r="BT53" s="122">
        <f t="shared" si="114"/>
        <v>12</v>
      </c>
      <c r="BU53" s="154">
        <f t="shared" si="42"/>
        <v>3.2050000000000001</v>
      </c>
      <c r="BV53" s="155">
        <f t="shared" ref="BV53" si="115">INDEX(N$17:N$42,BS53)</f>
        <v>-0.28499999999999998</v>
      </c>
    </row>
    <row r="54" spans="12:74" x14ac:dyDescent="0.35">
      <c r="L54" s="46"/>
      <c r="BS54" s="122">
        <f t="shared" ref="BS54:BT54" si="116">BS51+1</f>
        <v>13</v>
      </c>
      <c r="BT54" s="122">
        <f t="shared" si="116"/>
        <v>14</v>
      </c>
      <c r="BU54" s="154">
        <f t="shared" si="42"/>
        <v>3.34</v>
      </c>
      <c r="BV54" s="155">
        <f t="shared" si="43"/>
        <v>-0.28499999999999998</v>
      </c>
    </row>
    <row r="55" spans="12:74" x14ac:dyDescent="0.35">
      <c r="L55" s="46"/>
      <c r="BS55" s="122">
        <f t="shared" ref="BS55:BT55" si="117">BS52+1</f>
        <v>13</v>
      </c>
      <c r="BT55" s="122">
        <f t="shared" si="117"/>
        <v>14</v>
      </c>
      <c r="BU55" s="154">
        <f t="shared" si="42"/>
        <v>3.34</v>
      </c>
      <c r="BV55" s="155">
        <f t="shared" ref="BV55" si="118">IF(ISBLANK(INDEX(B$17:B$42,BS55)),BV54,$BV$15)</f>
        <v>0</v>
      </c>
    </row>
    <row r="56" spans="12:74" x14ac:dyDescent="0.35">
      <c r="L56" s="46"/>
      <c r="BS56" s="122">
        <f t="shared" ref="BS56:BT56" si="119">BS53+1</f>
        <v>14</v>
      </c>
      <c r="BT56" s="122">
        <f t="shared" si="119"/>
        <v>13</v>
      </c>
      <c r="BU56" s="154">
        <f t="shared" si="42"/>
        <v>3.34</v>
      </c>
      <c r="BV56" s="155">
        <f t="shared" ref="BV56" si="120">INDEX(N$17:N$42,BS56)</f>
        <v>-0.15</v>
      </c>
    </row>
    <row r="57" spans="12:74" x14ac:dyDescent="0.35">
      <c r="L57" s="46"/>
      <c r="BS57" s="122">
        <f t="shared" ref="BS57:BT57" si="121">BS54+1</f>
        <v>14</v>
      </c>
      <c r="BT57" s="122">
        <f t="shared" si="121"/>
        <v>15</v>
      </c>
      <c r="BU57" s="154">
        <f t="shared" si="42"/>
        <v>3.51</v>
      </c>
      <c r="BV57" s="155">
        <f t="shared" si="43"/>
        <v>-0.15</v>
      </c>
    </row>
    <row r="58" spans="12:74" x14ac:dyDescent="0.35">
      <c r="L58" s="46"/>
      <c r="BS58" s="122">
        <f t="shared" ref="BS58:BT58" si="122">BS55+1</f>
        <v>14</v>
      </c>
      <c r="BT58" s="122">
        <f t="shared" si="122"/>
        <v>15</v>
      </c>
      <c r="BU58" s="154">
        <f t="shared" si="42"/>
        <v>3.51</v>
      </c>
      <c r="BV58" s="155">
        <f t="shared" ref="BV58" si="123">IF(ISBLANK(INDEX(B$17:B$42,BS58)),BV57,$BV$15)</f>
        <v>0</v>
      </c>
    </row>
    <row r="59" spans="12:74" x14ac:dyDescent="0.35">
      <c r="L59" s="46"/>
      <c r="BS59" s="122">
        <f t="shared" ref="BS59:BT59" si="124">BS56+1</f>
        <v>15</v>
      </c>
      <c r="BT59" s="122">
        <f t="shared" si="124"/>
        <v>14</v>
      </c>
      <c r="BU59" s="154">
        <f t="shared" si="42"/>
        <v>3.51</v>
      </c>
      <c r="BV59" s="155">
        <f t="shared" ref="BV59" si="125">INDEX(N$17:N$42,BS59)</f>
        <v>-0.12</v>
      </c>
    </row>
    <row r="60" spans="12:74" x14ac:dyDescent="0.35">
      <c r="L60" s="46"/>
      <c r="BS60" s="122">
        <f t="shared" ref="BS60:BT60" si="126">BS57+1</f>
        <v>15</v>
      </c>
      <c r="BT60" s="122">
        <f t="shared" si="126"/>
        <v>16</v>
      </c>
      <c r="BU60" s="154">
        <f t="shared" si="42"/>
        <v>3.6</v>
      </c>
      <c r="BV60" s="155">
        <f t="shared" si="43"/>
        <v>-0.12</v>
      </c>
    </row>
    <row r="61" spans="12:74" x14ac:dyDescent="0.35">
      <c r="L61" s="46"/>
      <c r="BS61" s="122">
        <f t="shared" ref="BS61:BT61" si="127">BS58+1</f>
        <v>15</v>
      </c>
      <c r="BT61" s="122">
        <f t="shared" si="127"/>
        <v>16</v>
      </c>
      <c r="BU61" s="154">
        <f t="shared" si="42"/>
        <v>3.6</v>
      </c>
      <c r="BV61" s="155">
        <f t="shared" ref="BV61" si="128">IF(ISBLANK(INDEX(B$17:B$42,BS61)),BV60,$BV$15)</f>
        <v>0</v>
      </c>
    </row>
    <row r="62" spans="12:74" x14ac:dyDescent="0.35">
      <c r="L62" s="46"/>
      <c r="BS62" s="122">
        <f t="shared" ref="BS62:BT62" si="129">BS59+1</f>
        <v>16</v>
      </c>
      <c r="BT62" s="122">
        <f t="shared" si="129"/>
        <v>15</v>
      </c>
      <c r="BU62" s="154">
        <f t="shared" si="42"/>
        <v>3.6</v>
      </c>
      <c r="BV62" s="155" t="str">
        <f>INDEX(N$17:N$42,BS62)</f>
        <v/>
      </c>
    </row>
    <row r="63" spans="12:74" x14ac:dyDescent="0.35">
      <c r="L63" s="46"/>
      <c r="BS63" s="122">
        <f t="shared" ref="BS63:BT63" si="130">BS60+1</f>
        <v>16</v>
      </c>
      <c r="BT63" s="122">
        <f t="shared" si="130"/>
        <v>17</v>
      </c>
      <c r="BU63" s="154">
        <f t="shared" si="42"/>
        <v>3.6</v>
      </c>
      <c r="BV63" s="155" t="str">
        <f t="shared" si="43"/>
        <v/>
      </c>
    </row>
    <row r="64" spans="12:74" x14ac:dyDescent="0.35">
      <c r="L64" s="46"/>
      <c r="BS64" s="122">
        <f t="shared" ref="BS64:BT64" si="131">BS61+1</f>
        <v>16</v>
      </c>
      <c r="BT64" s="122">
        <f t="shared" si="131"/>
        <v>17</v>
      </c>
      <c r="BU64" s="154">
        <f t="shared" si="42"/>
        <v>3.6</v>
      </c>
      <c r="BV64" s="155" t="str">
        <f>IF(ISBLANK(INDEX(B$17:B$42,BS64)),BV63,$BV$15)</f>
        <v/>
      </c>
    </row>
    <row r="65" spans="12:74" x14ac:dyDescent="0.35">
      <c r="L65" s="46"/>
      <c r="BS65" s="122">
        <f t="shared" ref="BS65:BT65" si="132">BS62+1</f>
        <v>17</v>
      </c>
      <c r="BT65" s="122">
        <f t="shared" si="132"/>
        <v>16</v>
      </c>
      <c r="BU65" s="154">
        <f t="shared" si="42"/>
        <v>3.6</v>
      </c>
      <c r="BV65" s="155" t="str">
        <f t="shared" ref="BV65" si="133">INDEX(N$17:N$42,BS65)</f>
        <v/>
      </c>
    </row>
    <row r="66" spans="12:74" x14ac:dyDescent="0.35">
      <c r="L66" s="46"/>
      <c r="BS66" s="122">
        <f t="shared" ref="BS66:BT66" si="134">BS63+1</f>
        <v>17</v>
      </c>
      <c r="BT66" s="122">
        <f t="shared" si="134"/>
        <v>18</v>
      </c>
      <c r="BU66" s="154">
        <f t="shared" si="42"/>
        <v>3.6</v>
      </c>
      <c r="BV66" s="155" t="str">
        <f t="shared" si="43"/>
        <v/>
      </c>
    </row>
    <row r="67" spans="12:74" x14ac:dyDescent="0.35">
      <c r="L67" s="46"/>
      <c r="BS67" s="122">
        <f t="shared" ref="BS67:BT67" si="135">BS64+1</f>
        <v>17</v>
      </c>
      <c r="BT67" s="122">
        <f t="shared" si="135"/>
        <v>18</v>
      </c>
      <c r="BU67" s="154">
        <f t="shared" si="42"/>
        <v>3.6</v>
      </c>
      <c r="BV67" s="155" t="str">
        <f t="shared" ref="BV67" si="136">IF(ISBLANK(INDEX(B$17:B$42,BS67)),BV66,$BV$15)</f>
        <v/>
      </c>
    </row>
    <row r="68" spans="12:74" x14ac:dyDescent="0.35">
      <c r="L68" s="46"/>
      <c r="BS68" s="122">
        <f t="shared" ref="BS68:BT68" si="137">BS65+1</f>
        <v>18</v>
      </c>
      <c r="BT68" s="122">
        <f t="shared" si="137"/>
        <v>17</v>
      </c>
      <c r="BU68" s="154">
        <f t="shared" si="42"/>
        <v>3.6</v>
      </c>
      <c r="BV68" s="155" t="str">
        <f t="shared" ref="BV68" si="138">INDEX(N$17:N$42,BS68)</f>
        <v/>
      </c>
    </row>
    <row r="69" spans="12:74" x14ac:dyDescent="0.35">
      <c r="L69" s="46"/>
      <c r="BS69" s="122">
        <f t="shared" ref="BS69:BT69" si="139">BS66+1</f>
        <v>18</v>
      </c>
      <c r="BT69" s="122">
        <f t="shared" si="139"/>
        <v>19</v>
      </c>
      <c r="BU69" s="154">
        <f t="shared" si="42"/>
        <v>3.6</v>
      </c>
      <c r="BV69" s="155" t="str">
        <f t="shared" si="43"/>
        <v/>
      </c>
    </row>
    <row r="70" spans="12:74" x14ac:dyDescent="0.35">
      <c r="L70" s="46"/>
      <c r="BS70" s="122">
        <f t="shared" ref="BS70:BT70" si="140">BS67+1</f>
        <v>18</v>
      </c>
      <c r="BT70" s="122">
        <f t="shared" si="140"/>
        <v>19</v>
      </c>
      <c r="BU70" s="154">
        <f t="shared" si="42"/>
        <v>3.6</v>
      </c>
      <c r="BV70" s="155" t="str">
        <f t="shared" ref="BV70" si="141">IF(ISBLANK(INDEX(B$17:B$42,BS70)),BV69,$BV$15)</f>
        <v/>
      </c>
    </row>
    <row r="71" spans="12:74" x14ac:dyDescent="0.35">
      <c r="L71" s="46"/>
      <c r="BS71" s="122">
        <f t="shared" ref="BS71:BT71" si="142">BS68+1</f>
        <v>19</v>
      </c>
      <c r="BT71" s="122">
        <f t="shared" si="142"/>
        <v>18</v>
      </c>
      <c r="BU71" s="154">
        <f t="shared" si="42"/>
        <v>3.6</v>
      </c>
      <c r="BV71" s="155" t="str">
        <f t="shared" ref="BV71" si="143">INDEX(N$17:N$42,BS71)</f>
        <v/>
      </c>
    </row>
    <row r="72" spans="12:74" x14ac:dyDescent="0.35">
      <c r="L72" s="46"/>
      <c r="BS72" s="122">
        <f t="shared" ref="BS72:BT72" si="144">BS69+1</f>
        <v>19</v>
      </c>
      <c r="BT72" s="122">
        <f t="shared" si="144"/>
        <v>20</v>
      </c>
      <c r="BU72" s="154">
        <f t="shared" si="42"/>
        <v>3.6</v>
      </c>
      <c r="BV72" s="155" t="str">
        <f t="shared" si="43"/>
        <v/>
      </c>
    </row>
    <row r="73" spans="12:74" x14ac:dyDescent="0.35">
      <c r="L73" s="46"/>
      <c r="BS73" s="122">
        <f t="shared" ref="BS73:BT73" si="145">BS70+1</f>
        <v>19</v>
      </c>
      <c r="BT73" s="122">
        <f t="shared" si="145"/>
        <v>20</v>
      </c>
      <c r="BU73" s="154">
        <f t="shared" si="42"/>
        <v>3.6</v>
      </c>
      <c r="BV73" s="155" t="str">
        <f t="shared" ref="BV73" si="146">IF(ISBLANK(INDEX(B$17:B$42,BS73)),BV72,$BV$15)</f>
        <v/>
      </c>
    </row>
    <row r="74" spans="12:74" x14ac:dyDescent="0.35">
      <c r="L74" s="46"/>
      <c r="BS74" s="122">
        <f t="shared" ref="BS74:BT74" si="147">BS71+1</f>
        <v>20</v>
      </c>
      <c r="BT74" s="122">
        <f t="shared" si="147"/>
        <v>19</v>
      </c>
      <c r="BU74" s="154">
        <f t="shared" si="42"/>
        <v>3.6</v>
      </c>
      <c r="BV74" s="155" t="str">
        <f t="shared" ref="BV74" si="148">INDEX(N$17:N$42,BS74)</f>
        <v/>
      </c>
    </row>
    <row r="75" spans="12:74" x14ac:dyDescent="0.35">
      <c r="L75" s="46"/>
      <c r="BS75" s="122">
        <f t="shared" ref="BS75:BT75" si="149">BS72+1</f>
        <v>20</v>
      </c>
      <c r="BT75" s="122">
        <f t="shared" si="149"/>
        <v>21</v>
      </c>
      <c r="BU75" s="154">
        <f t="shared" si="42"/>
        <v>3.6</v>
      </c>
      <c r="BV75" s="155" t="str">
        <f t="shared" si="43"/>
        <v/>
      </c>
    </row>
    <row r="76" spans="12:74" x14ac:dyDescent="0.35">
      <c r="L76" s="46"/>
      <c r="BS76" s="122">
        <f t="shared" ref="BS76:BT76" si="150">BS73+1</f>
        <v>20</v>
      </c>
      <c r="BT76" s="122">
        <f t="shared" si="150"/>
        <v>21</v>
      </c>
      <c r="BU76" s="154">
        <f t="shared" si="42"/>
        <v>3.6</v>
      </c>
      <c r="BV76" s="155" t="str">
        <f t="shared" ref="BV76" si="151">IF(ISBLANK(INDEX(B$17:B$42,BS76)),BV75,$BV$15)</f>
        <v/>
      </c>
    </row>
    <row r="77" spans="12:74" x14ac:dyDescent="0.35">
      <c r="L77" s="46"/>
      <c r="BS77" s="122">
        <f t="shared" ref="BS77:BT77" si="152">BS74+1</f>
        <v>21</v>
      </c>
      <c r="BT77" s="122">
        <f t="shared" si="152"/>
        <v>20</v>
      </c>
      <c r="BU77" s="154">
        <f t="shared" si="42"/>
        <v>3.6</v>
      </c>
      <c r="BV77" s="155" t="str">
        <f t="shared" ref="BV77" si="153">INDEX(N$17:N$42,BS77)</f>
        <v/>
      </c>
    </row>
    <row r="78" spans="12:74" x14ac:dyDescent="0.35">
      <c r="L78" s="46"/>
      <c r="BS78" s="122">
        <f t="shared" ref="BS78:BT78" si="154">BS75+1</f>
        <v>21</v>
      </c>
      <c r="BT78" s="122">
        <f t="shared" si="154"/>
        <v>22</v>
      </c>
      <c r="BU78" s="154">
        <f t="shared" si="42"/>
        <v>3.6</v>
      </c>
      <c r="BV78" s="155" t="str">
        <f t="shared" si="43"/>
        <v/>
      </c>
    </row>
    <row r="79" spans="12:74" x14ac:dyDescent="0.35">
      <c r="L79" s="46"/>
      <c r="BS79" s="122">
        <f t="shared" ref="BS79:BT79" si="155">BS76+1</f>
        <v>21</v>
      </c>
      <c r="BT79" s="122">
        <f t="shared" si="155"/>
        <v>22</v>
      </c>
      <c r="BU79" s="154">
        <f t="shared" si="42"/>
        <v>3.6</v>
      </c>
      <c r="BV79" s="155" t="str">
        <f t="shared" ref="BV79" si="156">IF(ISBLANK(INDEX(B$17:B$42,BS79)),BV78,$BV$15)</f>
        <v/>
      </c>
    </row>
    <row r="80" spans="12:74" x14ac:dyDescent="0.35">
      <c r="L80" s="46"/>
      <c r="BS80" s="122">
        <f t="shared" ref="BS80:BT80" si="157">BS77+1</f>
        <v>22</v>
      </c>
      <c r="BT80" s="122">
        <f t="shared" si="157"/>
        <v>21</v>
      </c>
      <c r="BU80" s="154">
        <f t="shared" si="42"/>
        <v>3.6</v>
      </c>
      <c r="BV80" s="155" t="str">
        <f t="shared" ref="BV80" si="158">INDEX(N$17:N$42,BS80)</f>
        <v/>
      </c>
    </row>
    <row r="81" spans="12:74" x14ac:dyDescent="0.35">
      <c r="L81" s="46"/>
      <c r="BS81" s="122">
        <f t="shared" ref="BS81:BT81" si="159">BS78+1</f>
        <v>22</v>
      </c>
      <c r="BT81" s="122">
        <f t="shared" si="159"/>
        <v>23</v>
      </c>
      <c r="BU81" s="154">
        <f t="shared" si="42"/>
        <v>3.6</v>
      </c>
      <c r="BV81" s="155" t="str">
        <f t="shared" si="43"/>
        <v/>
      </c>
    </row>
    <row r="82" spans="12:74" x14ac:dyDescent="0.35">
      <c r="L82" s="46"/>
      <c r="BS82" s="122">
        <f t="shared" ref="BS82:BT82" si="160">BS79+1</f>
        <v>22</v>
      </c>
      <c r="BT82" s="122">
        <f t="shared" si="160"/>
        <v>23</v>
      </c>
      <c r="BU82" s="154">
        <f t="shared" ref="BU82:BU93" si="161">IF(ISNUMBER(BV82),IF(OR(ISBLANK(INDEX(B$17:B$43,BS82)),ISBLANK(INDEX(B$17:B$43,BT82))),INDEX(B$17:B$43,BS82),(INDEX(B$17:B$43,BS82)+INDEX(B$17:B$43,BT82))/2),BU81)</f>
        <v>3.6</v>
      </c>
      <c r="BV82" s="155" t="str">
        <f t="shared" ref="BV82" si="162">IF(ISBLANK(INDEX(B$17:B$42,BS82)),BV81,$BV$15)</f>
        <v/>
      </c>
    </row>
    <row r="83" spans="12:74" x14ac:dyDescent="0.35">
      <c r="L83" s="46"/>
      <c r="BS83" s="122">
        <f t="shared" ref="BS83:BT83" si="163">BS80+1</f>
        <v>23</v>
      </c>
      <c r="BT83" s="122">
        <f t="shared" si="163"/>
        <v>22</v>
      </c>
      <c r="BU83" s="154">
        <f t="shared" si="161"/>
        <v>3.6</v>
      </c>
      <c r="BV83" s="155" t="str">
        <f t="shared" ref="BV83:BV93" si="164">INDEX(N$17:N$42,BS83)</f>
        <v/>
      </c>
    </row>
    <row r="84" spans="12:74" x14ac:dyDescent="0.35">
      <c r="L84" s="46"/>
      <c r="BS84" s="122">
        <f t="shared" ref="BS84:BT84" si="165">BS81+1</f>
        <v>23</v>
      </c>
      <c r="BT84" s="122">
        <f t="shared" si="165"/>
        <v>24</v>
      </c>
      <c r="BU84" s="154">
        <f t="shared" si="161"/>
        <v>3.6</v>
      </c>
      <c r="BV84" s="155" t="str">
        <f t="shared" si="164"/>
        <v/>
      </c>
    </row>
    <row r="85" spans="12:74" x14ac:dyDescent="0.35">
      <c r="L85" s="46"/>
      <c r="BS85" s="122">
        <f t="shared" ref="BS85:BT85" si="166">BS82+1</f>
        <v>23</v>
      </c>
      <c r="BT85" s="122">
        <f t="shared" si="166"/>
        <v>24</v>
      </c>
      <c r="BU85" s="154">
        <f t="shared" si="161"/>
        <v>3.6</v>
      </c>
      <c r="BV85" s="155" t="str">
        <f t="shared" ref="BV85" si="167">IF(ISBLANK(INDEX(B$17:B$42,BS85)),BV84,$BV$15)</f>
        <v/>
      </c>
    </row>
    <row r="86" spans="12:74" x14ac:dyDescent="0.35">
      <c r="L86" s="46"/>
      <c r="BS86" s="122">
        <f t="shared" ref="BS86:BT86" si="168">BS83+1</f>
        <v>24</v>
      </c>
      <c r="BT86" s="122">
        <f t="shared" si="168"/>
        <v>23</v>
      </c>
      <c r="BU86" s="154">
        <f t="shared" si="161"/>
        <v>3.6</v>
      </c>
      <c r="BV86" s="155" t="str">
        <f t="shared" ref="BV86" si="169">INDEX(N$17:N$42,BS86)</f>
        <v/>
      </c>
    </row>
    <row r="87" spans="12:74" x14ac:dyDescent="0.35">
      <c r="L87" s="46"/>
      <c r="BS87" s="122">
        <f t="shared" ref="BS87:BT87" si="170">BS84+1</f>
        <v>24</v>
      </c>
      <c r="BT87" s="122">
        <f t="shared" si="170"/>
        <v>25</v>
      </c>
      <c r="BU87" s="154">
        <f t="shared" si="161"/>
        <v>3.6</v>
      </c>
      <c r="BV87" s="155" t="str">
        <f t="shared" si="164"/>
        <v/>
      </c>
    </row>
    <row r="88" spans="12:74" x14ac:dyDescent="0.35">
      <c r="L88" s="46"/>
      <c r="BS88" s="122">
        <f t="shared" ref="BS88:BT88" si="171">BS85+1</f>
        <v>24</v>
      </c>
      <c r="BT88" s="122">
        <f t="shared" si="171"/>
        <v>25</v>
      </c>
      <c r="BU88" s="154">
        <f t="shared" si="161"/>
        <v>3.6</v>
      </c>
      <c r="BV88" s="155" t="str">
        <f t="shared" ref="BV88" si="172">IF(ISBLANK(INDEX(B$17:B$42,BS88)),BV87,$BV$15)</f>
        <v/>
      </c>
    </row>
    <row r="89" spans="12:74" x14ac:dyDescent="0.35">
      <c r="L89" s="46"/>
      <c r="BS89" s="122">
        <f t="shared" ref="BS89:BT89" si="173">BS86+1</f>
        <v>25</v>
      </c>
      <c r="BT89" s="122">
        <f t="shared" si="173"/>
        <v>24</v>
      </c>
      <c r="BU89" s="154">
        <f t="shared" si="161"/>
        <v>3.6</v>
      </c>
      <c r="BV89" s="155" t="str">
        <f t="shared" ref="BV89" si="174">INDEX(N$17:N$42,BS89)</f>
        <v/>
      </c>
    </row>
    <row r="90" spans="12:74" x14ac:dyDescent="0.35">
      <c r="L90" s="46"/>
      <c r="BS90" s="122">
        <f t="shared" ref="BS90:BT90" si="175">BS87+1</f>
        <v>25</v>
      </c>
      <c r="BT90" s="122">
        <f t="shared" si="175"/>
        <v>26</v>
      </c>
      <c r="BU90" s="154">
        <f t="shared" si="161"/>
        <v>3.6</v>
      </c>
      <c r="BV90" s="155" t="str">
        <f t="shared" si="164"/>
        <v/>
      </c>
    </row>
    <row r="91" spans="12:74" x14ac:dyDescent="0.35">
      <c r="L91" s="46"/>
      <c r="BS91" s="122">
        <f t="shared" ref="BS91:BT91" si="176">BS88+1</f>
        <v>25</v>
      </c>
      <c r="BT91" s="122">
        <f t="shared" si="176"/>
        <v>26</v>
      </c>
      <c r="BU91" s="154">
        <f t="shared" si="161"/>
        <v>3.6</v>
      </c>
      <c r="BV91" s="155" t="str">
        <f t="shared" ref="BV91" si="177">IF(ISBLANK(INDEX(B$17:B$42,BS91)),BV90,$BV$15)</f>
        <v/>
      </c>
    </row>
    <row r="92" spans="12:74" x14ac:dyDescent="0.35">
      <c r="L92" s="46"/>
      <c r="BS92" s="122">
        <f t="shared" ref="BS92:BT93" si="178">BS89+1</f>
        <v>26</v>
      </c>
      <c r="BT92" s="122">
        <f t="shared" si="178"/>
        <v>25</v>
      </c>
      <c r="BU92" s="154">
        <f t="shared" si="161"/>
        <v>3.6</v>
      </c>
      <c r="BV92" s="155" t="str">
        <f t="shared" ref="BV92" si="179">INDEX(N$17:N$42,BS92)</f>
        <v/>
      </c>
    </row>
    <row r="93" spans="12:74" x14ac:dyDescent="0.35">
      <c r="L93" s="46"/>
      <c r="BS93" s="122">
        <f t="shared" si="178"/>
        <v>26</v>
      </c>
      <c r="BT93" s="122">
        <f t="shared" si="178"/>
        <v>27</v>
      </c>
      <c r="BU93" s="154">
        <f t="shared" si="161"/>
        <v>3.6</v>
      </c>
      <c r="BV93" s="155" t="str">
        <f t="shared" si="164"/>
        <v/>
      </c>
    </row>
    <row r="94" spans="12:74" x14ac:dyDescent="0.35">
      <c r="L94" s="46"/>
      <c r="BU94" s="154"/>
      <c r="BV94" s="155"/>
    </row>
    <row r="95" spans="12:74" x14ac:dyDescent="0.35">
      <c r="L95" s="46"/>
      <c r="BU95" s="154"/>
      <c r="BV95" s="155"/>
    </row>
    <row r="96" spans="12:74" x14ac:dyDescent="0.35">
      <c r="L96" s="46"/>
      <c r="BU96" s="154"/>
      <c r="BV96" s="155"/>
    </row>
    <row r="97" spans="12:74" x14ac:dyDescent="0.35">
      <c r="L97" s="46"/>
      <c r="BU97" s="154"/>
      <c r="BV97" s="155"/>
    </row>
    <row r="98" spans="12:74" x14ac:dyDescent="0.35">
      <c r="L98" s="46"/>
      <c r="BU98" s="154"/>
      <c r="BV98" s="155"/>
    </row>
    <row r="99" spans="12:74" x14ac:dyDescent="0.35">
      <c r="L99" s="46"/>
      <c r="BU99" s="154"/>
      <c r="BV99" s="155"/>
    </row>
    <row r="100" spans="12:74" x14ac:dyDescent="0.35">
      <c r="L100" s="46"/>
      <c r="BU100" s="154"/>
      <c r="BV100" s="155"/>
    </row>
    <row r="101" spans="12:74" x14ac:dyDescent="0.35">
      <c r="L101" s="46"/>
      <c r="BU101" s="154"/>
      <c r="BV101" s="155"/>
    </row>
    <row r="102" spans="12:74" x14ac:dyDescent="0.35">
      <c r="L102" s="46"/>
      <c r="BU102" s="154"/>
      <c r="BV102" s="155"/>
    </row>
    <row r="103" spans="12:74" x14ac:dyDescent="0.35">
      <c r="L103" s="46"/>
      <c r="BU103" s="154"/>
      <c r="BV103" s="155"/>
    </row>
    <row r="104" spans="12:74" x14ac:dyDescent="0.35">
      <c r="L104" s="46"/>
      <c r="BU104" s="154"/>
      <c r="BV104" s="155"/>
    </row>
    <row r="105" spans="12:74" x14ac:dyDescent="0.35">
      <c r="L105" s="46"/>
      <c r="BU105" s="154"/>
      <c r="BV105" s="155"/>
    </row>
    <row r="106" spans="12:74" x14ac:dyDescent="0.35">
      <c r="L106" s="46"/>
      <c r="BU106" s="154"/>
      <c r="BV106" s="155"/>
    </row>
    <row r="107" spans="12:74" x14ac:dyDescent="0.35">
      <c r="L107" s="46"/>
      <c r="BU107" s="154"/>
      <c r="BV107" s="155"/>
    </row>
    <row r="108" spans="12:74" x14ac:dyDescent="0.35">
      <c r="L108" s="46"/>
      <c r="BU108" s="154"/>
      <c r="BV108" s="155"/>
    </row>
    <row r="109" spans="12:74" x14ac:dyDescent="0.35">
      <c r="L109" s="46"/>
      <c r="BU109" s="154"/>
      <c r="BV109" s="155"/>
    </row>
    <row r="110" spans="12:74" x14ac:dyDescent="0.35">
      <c r="L110" s="46"/>
      <c r="BU110" s="154"/>
      <c r="BV110" s="155"/>
    </row>
    <row r="111" spans="12:74" x14ac:dyDescent="0.35">
      <c r="L111" s="46"/>
      <c r="BU111" s="154"/>
      <c r="BV111" s="155"/>
    </row>
    <row r="112" spans="12:74" x14ac:dyDescent="0.35">
      <c r="L112" s="46"/>
      <c r="BU112" s="154"/>
      <c r="BV112" s="155"/>
    </row>
    <row r="113" spans="12:74" x14ac:dyDescent="0.35">
      <c r="L113" s="46"/>
      <c r="BU113" s="154"/>
      <c r="BV113" s="155"/>
    </row>
    <row r="114" spans="12:74" x14ac:dyDescent="0.35">
      <c r="L114" s="46"/>
      <c r="BU114" s="154"/>
      <c r="BV114" s="155"/>
    </row>
    <row r="115" spans="12:74" x14ac:dyDescent="0.35">
      <c r="L115" s="46"/>
      <c r="BU115" s="154"/>
      <c r="BV115" s="155"/>
    </row>
    <row r="116" spans="12:74" x14ac:dyDescent="0.35">
      <c r="L116" s="46"/>
      <c r="BU116" s="154"/>
      <c r="BV116" s="155"/>
    </row>
    <row r="117" spans="12:74" x14ac:dyDescent="0.35">
      <c r="L117" s="46"/>
      <c r="BU117" s="154"/>
      <c r="BV117" s="155"/>
    </row>
    <row r="118" spans="12:74" x14ac:dyDescent="0.35">
      <c r="L118" s="46"/>
      <c r="BU118" s="154"/>
      <c r="BV118" s="155"/>
    </row>
    <row r="119" spans="12:74" x14ac:dyDescent="0.35">
      <c r="L119" s="46"/>
      <c r="BU119" s="154"/>
      <c r="BV119" s="155"/>
    </row>
    <row r="120" spans="12:74" x14ac:dyDescent="0.35">
      <c r="L120" s="46"/>
      <c r="BU120" s="154"/>
      <c r="BV120" s="155"/>
    </row>
    <row r="121" spans="12:74" x14ac:dyDescent="0.35">
      <c r="L121" s="46"/>
      <c r="BU121" s="154"/>
      <c r="BV121" s="155"/>
    </row>
    <row r="122" spans="12:74" x14ac:dyDescent="0.35">
      <c r="L122" s="46"/>
      <c r="BU122" s="154"/>
      <c r="BV122" s="155"/>
    </row>
    <row r="123" spans="12:74" x14ac:dyDescent="0.35">
      <c r="L123" s="46"/>
    </row>
    <row r="124" spans="12:74" x14ac:dyDescent="0.35">
      <c r="L124" s="46"/>
    </row>
    <row r="125" spans="12:74" x14ac:dyDescent="0.35">
      <c r="L125" s="46"/>
    </row>
    <row r="126" spans="12:74" x14ac:dyDescent="0.35">
      <c r="L126" s="46"/>
    </row>
    <row r="127" spans="12:74" x14ac:dyDescent="0.35">
      <c r="L127" s="46"/>
    </row>
    <row r="128" spans="12:74" x14ac:dyDescent="0.35">
      <c r="L128" s="46"/>
    </row>
    <row r="129" spans="12:12" x14ac:dyDescent="0.35">
      <c r="L129" s="46"/>
    </row>
    <row r="130" spans="12:12" x14ac:dyDescent="0.35">
      <c r="L130" s="46"/>
    </row>
    <row r="131" spans="12:12" x14ac:dyDescent="0.35">
      <c r="L131" s="46"/>
    </row>
    <row r="132" spans="12:12" x14ac:dyDescent="0.35">
      <c r="L132" s="46"/>
    </row>
    <row r="133" spans="12:12" x14ac:dyDescent="0.35">
      <c r="L133" s="46"/>
    </row>
    <row r="134" spans="12:12" x14ac:dyDescent="0.35">
      <c r="L134" s="46"/>
    </row>
    <row r="135" spans="12:12" x14ac:dyDescent="0.35">
      <c r="L135" s="46"/>
    </row>
    <row r="136" spans="12:12" x14ac:dyDescent="0.35">
      <c r="L136" s="46"/>
    </row>
    <row r="137" spans="12:12" x14ac:dyDescent="0.35">
      <c r="L137" s="46"/>
    </row>
    <row r="138" spans="12:12" x14ac:dyDescent="0.35">
      <c r="L138" s="46"/>
    </row>
    <row r="139" spans="12:12" x14ac:dyDescent="0.35">
      <c r="L139" s="46"/>
    </row>
    <row r="140" spans="12:12" x14ac:dyDescent="0.35">
      <c r="L140" s="46"/>
    </row>
    <row r="141" spans="12:12" x14ac:dyDescent="0.35">
      <c r="L141" s="46"/>
    </row>
    <row r="142" spans="12:12" x14ac:dyDescent="0.35">
      <c r="L142" s="46"/>
    </row>
    <row r="143" spans="12:12" x14ac:dyDescent="0.35">
      <c r="L143" s="46"/>
    </row>
    <row r="144" spans="12:12" x14ac:dyDescent="0.35">
      <c r="L144" s="46"/>
    </row>
    <row r="145" spans="12:12" x14ac:dyDescent="0.35">
      <c r="L145" s="46"/>
    </row>
    <row r="146" spans="12:12" x14ac:dyDescent="0.35">
      <c r="L146" s="46"/>
    </row>
    <row r="147" spans="12:12" x14ac:dyDescent="0.35">
      <c r="L147" s="46"/>
    </row>
    <row r="148" spans="12:12" x14ac:dyDescent="0.35">
      <c r="L148" s="46"/>
    </row>
    <row r="149" spans="12:12" x14ac:dyDescent="0.35">
      <c r="L149" s="46"/>
    </row>
    <row r="150" spans="12:12" x14ac:dyDescent="0.35">
      <c r="L150" s="46"/>
    </row>
    <row r="151" spans="12:12" x14ac:dyDescent="0.35">
      <c r="L151" s="46"/>
    </row>
    <row r="152" spans="12:12" x14ac:dyDescent="0.35">
      <c r="L152" s="46"/>
    </row>
    <row r="153" spans="12:12" x14ac:dyDescent="0.35">
      <c r="L153" s="46"/>
    </row>
    <row r="154" spans="12:12" x14ac:dyDescent="0.35">
      <c r="L154" s="46"/>
    </row>
    <row r="155" spans="12:12" x14ac:dyDescent="0.35">
      <c r="L155" s="46"/>
    </row>
    <row r="156" spans="12:12" x14ac:dyDescent="0.35">
      <c r="L156" s="46"/>
    </row>
    <row r="157" spans="12:12" x14ac:dyDescent="0.35">
      <c r="L157" s="46"/>
    </row>
    <row r="158" spans="12:12" x14ac:dyDescent="0.35">
      <c r="L158" s="46"/>
    </row>
    <row r="159" spans="12:12" x14ac:dyDescent="0.35">
      <c r="L159" s="46"/>
    </row>
    <row r="160" spans="12:12" x14ac:dyDescent="0.35">
      <c r="L160" s="46"/>
    </row>
    <row r="161" spans="12:12" x14ac:dyDescent="0.35">
      <c r="L161" s="46"/>
    </row>
    <row r="162" spans="12:12" x14ac:dyDescent="0.35">
      <c r="L162" s="46"/>
    </row>
    <row r="163" spans="12:12" x14ac:dyDescent="0.35">
      <c r="L163" s="46"/>
    </row>
    <row r="164" spans="12:12" x14ac:dyDescent="0.35">
      <c r="L164" s="46"/>
    </row>
    <row r="165" spans="12:12" x14ac:dyDescent="0.35">
      <c r="L165" s="46"/>
    </row>
    <row r="166" spans="12:12" x14ac:dyDescent="0.35">
      <c r="L166" s="46"/>
    </row>
    <row r="167" spans="12:12" x14ac:dyDescent="0.35">
      <c r="L167" s="46"/>
    </row>
    <row r="168" spans="12:12" x14ac:dyDescent="0.35">
      <c r="L168" s="46"/>
    </row>
    <row r="169" spans="12:12" x14ac:dyDescent="0.35">
      <c r="L169" s="46"/>
    </row>
    <row r="170" spans="12:12" x14ac:dyDescent="0.35">
      <c r="L170" s="46"/>
    </row>
    <row r="171" spans="12:12" x14ac:dyDescent="0.35">
      <c r="L171" s="46"/>
    </row>
    <row r="172" spans="12:12" x14ac:dyDescent="0.35">
      <c r="L172" s="46"/>
    </row>
    <row r="173" spans="12:12" x14ac:dyDescent="0.35">
      <c r="L173" s="46"/>
    </row>
    <row r="174" spans="12:12" x14ac:dyDescent="0.35">
      <c r="L174" s="46"/>
    </row>
    <row r="175" spans="12:12" x14ac:dyDescent="0.35">
      <c r="L175" s="46"/>
    </row>
    <row r="176" spans="12:12" x14ac:dyDescent="0.35">
      <c r="L176" s="46"/>
    </row>
    <row r="177" spans="12:12" x14ac:dyDescent="0.35">
      <c r="L177" s="46"/>
    </row>
    <row r="178" spans="12:12" x14ac:dyDescent="0.35">
      <c r="L178" s="46"/>
    </row>
    <row r="179" spans="12:12" x14ac:dyDescent="0.35">
      <c r="L179" s="46"/>
    </row>
    <row r="180" spans="12:12" x14ac:dyDescent="0.35">
      <c r="L180" s="46"/>
    </row>
    <row r="181" spans="12:12" x14ac:dyDescent="0.35">
      <c r="L181" s="46"/>
    </row>
    <row r="182" spans="12:12" x14ac:dyDescent="0.35">
      <c r="L182" s="46"/>
    </row>
    <row r="183" spans="12:12" x14ac:dyDescent="0.35">
      <c r="L183" s="46"/>
    </row>
    <row r="184" spans="12:12" x14ac:dyDescent="0.35">
      <c r="L184" s="46"/>
    </row>
    <row r="185" spans="12:12" x14ac:dyDescent="0.35">
      <c r="L185" s="46"/>
    </row>
    <row r="186" spans="12:12" x14ac:dyDescent="0.35">
      <c r="L186" s="46"/>
    </row>
    <row r="187" spans="12:12" x14ac:dyDescent="0.35">
      <c r="L187" s="46"/>
    </row>
    <row r="188" spans="12:12" x14ac:dyDescent="0.35">
      <c r="L188" s="46"/>
    </row>
    <row r="189" spans="12:12" x14ac:dyDescent="0.35">
      <c r="L189" s="46"/>
    </row>
    <row r="190" spans="12:12" x14ac:dyDescent="0.35">
      <c r="L190" s="46"/>
    </row>
    <row r="191" spans="12:12" x14ac:dyDescent="0.35">
      <c r="L191" s="46"/>
    </row>
    <row r="192" spans="12:12" x14ac:dyDescent="0.35">
      <c r="L192" s="46"/>
    </row>
    <row r="193" spans="12:12" x14ac:dyDescent="0.35">
      <c r="L193" s="46"/>
    </row>
    <row r="194" spans="12:12" x14ac:dyDescent="0.35">
      <c r="L194" s="46"/>
    </row>
    <row r="195" spans="12:12" x14ac:dyDescent="0.35">
      <c r="L195" s="46"/>
    </row>
    <row r="196" spans="12:12" x14ac:dyDescent="0.35">
      <c r="L196" s="46"/>
    </row>
    <row r="197" spans="12:12" x14ac:dyDescent="0.35">
      <c r="L197" s="46"/>
    </row>
    <row r="198" spans="12:12" x14ac:dyDescent="0.35">
      <c r="L198" s="46"/>
    </row>
    <row r="199" spans="12:12" x14ac:dyDescent="0.35">
      <c r="L199" s="46"/>
    </row>
    <row r="200" spans="12:12" x14ac:dyDescent="0.35">
      <c r="L200" s="46"/>
    </row>
    <row r="201" spans="12:12" x14ac:dyDescent="0.35">
      <c r="L201" s="46"/>
    </row>
    <row r="202" spans="12:12" x14ac:dyDescent="0.35">
      <c r="L202" s="46"/>
    </row>
    <row r="203" spans="12:12" x14ac:dyDescent="0.35">
      <c r="L203" s="46"/>
    </row>
    <row r="204" spans="12:12" x14ac:dyDescent="0.35">
      <c r="L204" s="46"/>
    </row>
    <row r="205" spans="12:12" x14ac:dyDescent="0.35">
      <c r="L205" s="46"/>
    </row>
    <row r="206" spans="12:12" x14ac:dyDescent="0.35">
      <c r="L206" s="46"/>
    </row>
    <row r="207" spans="12:12" x14ac:dyDescent="0.35">
      <c r="L207" s="46"/>
    </row>
    <row r="208" spans="12:12" x14ac:dyDescent="0.35">
      <c r="L208" s="46"/>
    </row>
    <row r="209" spans="12:12" x14ac:dyDescent="0.35">
      <c r="L209" s="46"/>
    </row>
    <row r="210" spans="12:12" x14ac:dyDescent="0.35">
      <c r="L210" s="46"/>
    </row>
    <row r="211" spans="12:12" x14ac:dyDescent="0.35">
      <c r="L211" s="46"/>
    </row>
    <row r="212" spans="12:12" x14ac:dyDescent="0.35">
      <c r="L212" s="46"/>
    </row>
    <row r="213" spans="12:12" x14ac:dyDescent="0.35">
      <c r="L213" s="46"/>
    </row>
    <row r="214" spans="12:12" x14ac:dyDescent="0.35">
      <c r="L214" s="46"/>
    </row>
    <row r="215" spans="12:12" x14ac:dyDescent="0.35">
      <c r="L215" s="46"/>
    </row>
    <row r="216" spans="12:12" x14ac:dyDescent="0.35">
      <c r="L216" s="46"/>
    </row>
    <row r="217" spans="12:12" x14ac:dyDescent="0.35">
      <c r="L217" s="46"/>
    </row>
    <row r="218" spans="12:12" x14ac:dyDescent="0.35">
      <c r="L218" s="46"/>
    </row>
    <row r="219" spans="12:12" x14ac:dyDescent="0.35">
      <c r="L219" s="46"/>
    </row>
    <row r="220" spans="12:12" x14ac:dyDescent="0.35">
      <c r="L220" s="46"/>
    </row>
    <row r="221" spans="12:12" x14ac:dyDescent="0.35">
      <c r="L221" s="46"/>
    </row>
    <row r="222" spans="12:12" x14ac:dyDescent="0.35">
      <c r="L222" s="46"/>
    </row>
    <row r="223" spans="12:12" x14ac:dyDescent="0.35">
      <c r="L223" s="46"/>
    </row>
    <row r="224" spans="12:12" x14ac:dyDescent="0.35">
      <c r="L224" s="46"/>
    </row>
    <row r="225" spans="12:12" x14ac:dyDescent="0.35">
      <c r="L225" s="46"/>
    </row>
    <row r="226" spans="12:12" x14ac:dyDescent="0.35">
      <c r="L226" s="46"/>
    </row>
    <row r="227" spans="12:12" x14ac:dyDescent="0.35">
      <c r="L227" s="46"/>
    </row>
    <row r="228" spans="12:12" x14ac:dyDescent="0.35">
      <c r="L228" s="46"/>
    </row>
    <row r="229" spans="12:12" x14ac:dyDescent="0.35">
      <c r="L229" s="46"/>
    </row>
    <row r="230" spans="12:12" x14ac:dyDescent="0.35">
      <c r="L230" s="46"/>
    </row>
    <row r="231" spans="12:12" x14ac:dyDescent="0.35">
      <c r="L231" s="46"/>
    </row>
    <row r="232" spans="12:12" x14ac:dyDescent="0.35">
      <c r="L232" s="46"/>
    </row>
    <row r="233" spans="12:12" x14ac:dyDescent="0.35">
      <c r="L233" s="46"/>
    </row>
    <row r="234" spans="12:12" x14ac:dyDescent="0.35">
      <c r="L234" s="46"/>
    </row>
    <row r="235" spans="12:12" x14ac:dyDescent="0.35">
      <c r="L235" s="46"/>
    </row>
    <row r="236" spans="12:12" x14ac:dyDescent="0.35">
      <c r="L236" s="46"/>
    </row>
    <row r="237" spans="12:12" x14ac:dyDescent="0.35">
      <c r="L237" s="46"/>
    </row>
    <row r="238" spans="12:12" x14ac:dyDescent="0.35">
      <c r="L238" s="46"/>
    </row>
    <row r="239" spans="12:12" x14ac:dyDescent="0.35">
      <c r="L239" s="46"/>
    </row>
    <row r="240" spans="12:12" x14ac:dyDescent="0.35">
      <c r="L240" s="46"/>
    </row>
    <row r="241" spans="12:12" x14ac:dyDescent="0.35">
      <c r="L241" s="46"/>
    </row>
    <row r="242" spans="12:12" x14ac:dyDescent="0.35">
      <c r="L242" s="46"/>
    </row>
    <row r="243" spans="12:12" x14ac:dyDescent="0.35">
      <c r="L243" s="46"/>
    </row>
    <row r="244" spans="12:12" x14ac:dyDescent="0.35">
      <c r="L244" s="46"/>
    </row>
    <row r="245" spans="12:12" x14ac:dyDescent="0.35">
      <c r="L245" s="46"/>
    </row>
    <row r="246" spans="12:12" x14ac:dyDescent="0.35">
      <c r="L246" s="46"/>
    </row>
    <row r="247" spans="12:12" x14ac:dyDescent="0.35">
      <c r="L247" s="46"/>
    </row>
    <row r="248" spans="12:12" x14ac:dyDescent="0.35">
      <c r="L248" s="46"/>
    </row>
    <row r="249" spans="12:12" x14ac:dyDescent="0.35">
      <c r="L249" s="46"/>
    </row>
    <row r="250" spans="12:12" x14ac:dyDescent="0.35">
      <c r="L250" s="46"/>
    </row>
    <row r="251" spans="12:12" x14ac:dyDescent="0.35">
      <c r="L251" s="46"/>
    </row>
    <row r="252" spans="12:12" x14ac:dyDescent="0.35">
      <c r="L252" s="46"/>
    </row>
    <row r="253" spans="12:12" x14ac:dyDescent="0.35">
      <c r="L253" s="46"/>
    </row>
    <row r="254" spans="12:12" x14ac:dyDescent="0.35">
      <c r="L254" s="46"/>
    </row>
    <row r="255" spans="12:12" x14ac:dyDescent="0.35">
      <c r="L255" s="46"/>
    </row>
    <row r="256" spans="12:12" x14ac:dyDescent="0.35">
      <c r="L256" s="46"/>
    </row>
    <row r="257" spans="12:12" x14ac:dyDescent="0.35">
      <c r="L257" s="46"/>
    </row>
    <row r="258" spans="12:12" x14ac:dyDescent="0.35">
      <c r="L258" s="46"/>
    </row>
    <row r="259" spans="12:12" x14ac:dyDescent="0.35">
      <c r="L259" s="46"/>
    </row>
    <row r="260" spans="12:12" x14ac:dyDescent="0.35">
      <c r="L260" s="46"/>
    </row>
    <row r="261" spans="12:12" x14ac:dyDescent="0.35">
      <c r="L261" s="46"/>
    </row>
    <row r="262" spans="12:12" x14ac:dyDescent="0.35">
      <c r="L262" s="46"/>
    </row>
    <row r="263" spans="12:12" x14ac:dyDescent="0.35">
      <c r="L263" s="46"/>
    </row>
    <row r="264" spans="12:12" x14ac:dyDescent="0.35">
      <c r="L264" s="46"/>
    </row>
    <row r="265" spans="12:12" x14ac:dyDescent="0.35">
      <c r="L265" s="46"/>
    </row>
    <row r="266" spans="12:12" x14ac:dyDescent="0.35">
      <c r="L266" s="46"/>
    </row>
    <row r="267" spans="12:12" x14ac:dyDescent="0.35">
      <c r="L267" s="46"/>
    </row>
    <row r="268" spans="12:12" x14ac:dyDescent="0.35">
      <c r="L268" s="46"/>
    </row>
    <row r="269" spans="12:12" x14ac:dyDescent="0.35">
      <c r="L269" s="46"/>
    </row>
    <row r="270" spans="12:12" x14ac:dyDescent="0.35">
      <c r="L270" s="46"/>
    </row>
    <row r="271" spans="12:12" x14ac:dyDescent="0.35">
      <c r="L271" s="46"/>
    </row>
    <row r="272" spans="12:12" x14ac:dyDescent="0.35">
      <c r="L272" s="46"/>
    </row>
    <row r="273" spans="12:12" x14ac:dyDescent="0.35">
      <c r="L273" s="46"/>
    </row>
    <row r="274" spans="12:12" x14ac:dyDescent="0.35">
      <c r="L274" s="46"/>
    </row>
    <row r="275" spans="12:12" x14ac:dyDescent="0.35">
      <c r="L275" s="46"/>
    </row>
    <row r="276" spans="12:12" x14ac:dyDescent="0.35">
      <c r="L276" s="46"/>
    </row>
    <row r="277" spans="12:12" x14ac:dyDescent="0.35">
      <c r="L277" s="46"/>
    </row>
    <row r="278" spans="12:12" x14ac:dyDescent="0.35">
      <c r="L278" s="46"/>
    </row>
    <row r="279" spans="12:12" x14ac:dyDescent="0.35">
      <c r="L279" s="46"/>
    </row>
    <row r="280" spans="12:12" x14ac:dyDescent="0.35">
      <c r="L280" s="46"/>
    </row>
    <row r="281" spans="12:12" x14ac:dyDescent="0.35">
      <c r="L281" s="46"/>
    </row>
    <row r="282" spans="12:12" x14ac:dyDescent="0.35">
      <c r="L282" s="46"/>
    </row>
    <row r="283" spans="12:12" x14ac:dyDescent="0.35">
      <c r="L283" s="46"/>
    </row>
    <row r="284" spans="12:12" x14ac:dyDescent="0.35">
      <c r="L284" s="46"/>
    </row>
    <row r="285" spans="12:12" x14ac:dyDescent="0.35">
      <c r="L285" s="46"/>
    </row>
    <row r="286" spans="12:12" x14ac:dyDescent="0.35">
      <c r="L286" s="46"/>
    </row>
    <row r="287" spans="12:12" x14ac:dyDescent="0.35">
      <c r="L287" s="46"/>
    </row>
    <row r="288" spans="12:12" x14ac:dyDescent="0.35">
      <c r="L288" s="46"/>
    </row>
    <row r="289" spans="12:12" x14ac:dyDescent="0.35">
      <c r="L289" s="46"/>
    </row>
    <row r="290" spans="12:12" x14ac:dyDescent="0.35">
      <c r="L290" s="46"/>
    </row>
    <row r="291" spans="12:12" x14ac:dyDescent="0.35">
      <c r="L291" s="46"/>
    </row>
    <row r="292" spans="12:12" x14ac:dyDescent="0.35">
      <c r="L292" s="46"/>
    </row>
    <row r="293" spans="12:12" x14ac:dyDescent="0.35">
      <c r="L293" s="46"/>
    </row>
    <row r="294" spans="12:12" x14ac:dyDescent="0.35">
      <c r="L294" s="46"/>
    </row>
    <row r="295" spans="12:12" x14ac:dyDescent="0.35">
      <c r="L295" s="46"/>
    </row>
    <row r="296" spans="12:12" x14ac:dyDescent="0.35">
      <c r="L296" s="46"/>
    </row>
    <row r="297" spans="12:12" x14ac:dyDescent="0.35">
      <c r="L297" s="46"/>
    </row>
    <row r="298" spans="12:12" x14ac:dyDescent="0.35">
      <c r="L298" s="46"/>
    </row>
    <row r="299" spans="12:12" x14ac:dyDescent="0.35">
      <c r="L299" s="46"/>
    </row>
    <row r="300" spans="12:12" x14ac:dyDescent="0.35">
      <c r="L300" s="46"/>
    </row>
    <row r="301" spans="12:12" x14ac:dyDescent="0.35">
      <c r="L301" s="46"/>
    </row>
    <row r="302" spans="12:12" x14ac:dyDescent="0.35">
      <c r="L302" s="46"/>
    </row>
    <row r="303" spans="12:12" x14ac:dyDescent="0.35">
      <c r="L303" s="46"/>
    </row>
    <row r="304" spans="12:12" x14ac:dyDescent="0.35">
      <c r="L304" s="46"/>
    </row>
    <row r="305" spans="12:12" x14ac:dyDescent="0.35">
      <c r="L305" s="46"/>
    </row>
    <row r="306" spans="12:12" x14ac:dyDescent="0.35">
      <c r="L306" s="46"/>
    </row>
    <row r="307" spans="12:12" x14ac:dyDescent="0.35">
      <c r="L307" s="46"/>
    </row>
    <row r="308" spans="12:12" x14ac:dyDescent="0.35">
      <c r="L308" s="46"/>
    </row>
    <row r="309" spans="12:12" x14ac:dyDescent="0.35">
      <c r="L309" s="46"/>
    </row>
    <row r="310" spans="12:12" x14ac:dyDescent="0.35">
      <c r="L310" s="46"/>
    </row>
    <row r="311" spans="12:12" x14ac:dyDescent="0.35">
      <c r="L311" s="46"/>
    </row>
    <row r="312" spans="12:12" x14ac:dyDescent="0.35">
      <c r="L312" s="46"/>
    </row>
    <row r="313" spans="12:12" x14ac:dyDescent="0.35">
      <c r="L313" s="46"/>
    </row>
    <row r="314" spans="12:12" x14ac:dyDescent="0.35">
      <c r="L314" s="46"/>
    </row>
    <row r="315" spans="12:12" x14ac:dyDescent="0.35">
      <c r="L315" s="46"/>
    </row>
    <row r="316" spans="12:12" x14ac:dyDescent="0.35">
      <c r="L316" s="46"/>
    </row>
  </sheetData>
  <sheetProtection algorithmName="SHA-512" hashValue="LtMjcpK7nW6emIaEEa0rWSp7hNhcXoF60ZEwnKYtawWzSJH13L07br+dhXf0WDaxrgNW2JNwh0oH6Oz1v3m5zw==" saltValue="krNHjxUKU68CD7nb0glArg==" spinCount="100000" sheet="1" objects="1" scenarios="1"/>
  <mergeCells count="28">
    <mergeCell ref="AD15:AF15"/>
    <mergeCell ref="AG15:AI15"/>
    <mergeCell ref="BB15:BK15"/>
    <mergeCell ref="H7:M7"/>
    <mergeCell ref="B10:C11"/>
    <mergeCell ref="E10:F11"/>
    <mergeCell ref="H11:H12"/>
    <mergeCell ref="I11:I12"/>
    <mergeCell ref="J11:M11"/>
    <mergeCell ref="B13:C13"/>
    <mergeCell ref="E13:F13"/>
    <mergeCell ref="B8:C8"/>
    <mergeCell ref="D8:E8"/>
    <mergeCell ref="J8:K8"/>
    <mergeCell ref="L8:M8"/>
    <mergeCell ref="J9:K9"/>
    <mergeCell ref="Z11:AA11"/>
    <mergeCell ref="AQ1:AU1"/>
    <mergeCell ref="AD1:AI1"/>
    <mergeCell ref="L9:M9"/>
    <mergeCell ref="A1:C1"/>
    <mergeCell ref="Z1:AA1"/>
    <mergeCell ref="B4:C4"/>
    <mergeCell ref="E4:F4"/>
    <mergeCell ref="B6:C6"/>
    <mergeCell ref="E6:F6"/>
    <mergeCell ref="E2:F2"/>
    <mergeCell ref="A2:C2"/>
  </mergeCells>
  <pageMargins left="0.7" right="0.7" top="0.75" bottom="0.75" header="0.51180555555555496" footer="0.51180555555555496"/>
  <pageSetup paperSize="9" scale="10" firstPageNumber="0" fitToHeight="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V98"/>
  <sheetViews>
    <sheetView tabSelected="1" zoomScale="70" zoomScaleNormal="70" workbookViewId="0">
      <selection activeCell="A2" sqref="A2:C2"/>
    </sheetView>
  </sheetViews>
  <sheetFormatPr baseColWidth="10" defaultColWidth="10.453125" defaultRowHeight="14.5" x14ac:dyDescent="0.35"/>
  <cols>
    <col min="1" max="1" width="21" style="35" customWidth="1"/>
    <col min="2" max="2" width="17.81640625" style="35" customWidth="1"/>
    <col min="3" max="4" width="17.7265625" style="35" customWidth="1"/>
    <col min="5" max="5" width="17.453125" style="35" customWidth="1"/>
    <col min="6" max="6" width="24.26953125" style="35" customWidth="1"/>
    <col min="7" max="7" width="6" style="35" customWidth="1"/>
    <col min="8" max="8" width="19.81640625" style="35" customWidth="1"/>
    <col min="9" max="9" width="24.26953125" style="35" customWidth="1"/>
    <col min="10" max="11" width="14.1796875" style="35" customWidth="1"/>
    <col min="12" max="12" width="13.453125" style="47" customWidth="1"/>
    <col min="13" max="13" width="11.81640625" style="35" customWidth="1"/>
    <col min="14" max="24" width="10.453125" style="35"/>
    <col min="25" max="25" width="10.453125" style="47"/>
    <col min="26" max="26" width="11.81640625" style="35" customWidth="1"/>
    <col min="27" max="27" width="13.7265625" style="47" customWidth="1"/>
    <col min="28" max="28" width="10.453125" style="35"/>
    <col min="29" max="29" width="11.453125" style="75" bestFit="1" customWidth="1"/>
    <col min="30" max="30" width="20.453125" style="75" customWidth="1"/>
    <col min="31" max="35" width="10.453125" style="75"/>
    <col min="36" max="36" width="10.453125" style="159"/>
    <col min="37" max="37" width="10.453125" style="35"/>
    <col min="38" max="39" width="11.453125" style="75" bestFit="1" customWidth="1"/>
    <col min="40" max="40" width="20.7265625" style="75" bestFit="1" customWidth="1"/>
    <col min="41" max="41" width="10.54296875" style="75" bestFit="1" customWidth="1"/>
    <col min="42" max="42" width="10.54296875" style="159" bestFit="1" customWidth="1"/>
    <col min="43" max="44" width="10.54296875" style="75" bestFit="1" customWidth="1"/>
    <col min="45" max="45" width="10.54296875" style="75" customWidth="1"/>
    <col min="46" max="46" width="12.54296875" style="75" bestFit="1" customWidth="1"/>
    <col min="47" max="47" width="11.81640625" style="87" bestFit="1" customWidth="1"/>
    <col min="48" max="49" width="11.81640625" style="75" bestFit="1" customWidth="1"/>
    <col min="50" max="50" width="12.54296875" style="75" bestFit="1" customWidth="1"/>
    <col min="51" max="51" width="11.81640625" style="75" bestFit="1" customWidth="1"/>
    <col min="52" max="52" width="11.81640625" style="76" bestFit="1" customWidth="1"/>
    <col min="53" max="64" width="10.453125" style="35"/>
    <col min="65" max="66" width="12" style="35" bestFit="1" customWidth="1"/>
    <col min="67" max="67" width="10.453125" style="35"/>
    <col min="68" max="68" width="11.453125" style="35" bestFit="1" customWidth="1"/>
    <col min="69" max="69" width="12.54296875" style="47" bestFit="1" customWidth="1"/>
    <col min="70" max="70" width="12.1796875" style="35" bestFit="1" customWidth="1"/>
    <col min="71" max="71" width="12.1796875" style="159" customWidth="1"/>
    <col min="72" max="74" width="10.453125" style="159"/>
    <col min="75" max="16384" width="10.453125" style="35"/>
  </cols>
  <sheetData>
    <row r="1" spans="1:74" ht="57.75" customHeight="1" x14ac:dyDescent="0.45">
      <c r="A1" s="214" t="s">
        <v>175</v>
      </c>
      <c r="B1" s="214"/>
      <c r="C1" s="214"/>
      <c r="D1" s="168"/>
      <c r="E1" s="211" t="s">
        <v>176</v>
      </c>
      <c r="F1" s="169" t="str">
        <f>CONCATENATE(IF(ISNUMBER(H13),H13,"   ")&amp;" L/s")</f>
        <v>98.9 L/s</v>
      </c>
      <c r="H1" s="71" t="s">
        <v>46</v>
      </c>
      <c r="I1" s="71"/>
      <c r="J1" s="72"/>
      <c r="K1" s="73"/>
      <c r="W1" s="35">
        <f>10/11-2/3</f>
        <v>0.24242424242424243</v>
      </c>
      <c r="Z1" s="237" t="s">
        <v>149</v>
      </c>
      <c r="AA1" s="237"/>
      <c r="AB1" s="74"/>
      <c r="AD1" s="238" t="s">
        <v>151</v>
      </c>
      <c r="AE1" s="238"/>
      <c r="AF1" s="238"/>
      <c r="AG1" s="238"/>
      <c r="AH1" s="238"/>
      <c r="AI1" s="238"/>
      <c r="AK1" s="75"/>
      <c r="AP1" s="160"/>
      <c r="AQ1" s="239" t="s">
        <v>152</v>
      </c>
      <c r="AR1" s="239"/>
      <c r="AS1" s="239"/>
      <c r="AT1" s="239"/>
      <c r="AU1" s="239"/>
      <c r="AV1" s="35"/>
      <c r="BA1" s="77" t="s">
        <v>153</v>
      </c>
      <c r="BB1" s="78"/>
      <c r="BC1" s="79"/>
      <c r="BD1" s="75"/>
      <c r="BE1" s="75"/>
      <c r="BF1" s="75"/>
      <c r="BG1" s="75"/>
    </row>
    <row r="2" spans="1:74" ht="21" customHeight="1" x14ac:dyDescent="0.45">
      <c r="A2" s="254" t="s">
        <v>178</v>
      </c>
      <c r="B2" s="214"/>
      <c r="C2" s="214"/>
      <c r="D2" s="168"/>
      <c r="E2" s="218" t="str">
        <f>IF(ISNUMBER(H13),CONCATENATE(ROUND((1-K13)*H13,1)&amp;" &lt; Q &lt; "&amp;ROUND((1+K13)*H13,1)&amp;" L/s"),"")</f>
        <v>91.8 &lt; Q &lt; 106 L/s</v>
      </c>
      <c r="F2" s="218"/>
      <c r="H2" s="71"/>
      <c r="I2" s="71"/>
      <c r="J2" s="72"/>
      <c r="K2" s="73"/>
      <c r="Z2" s="187"/>
      <c r="AA2" s="187"/>
      <c r="AB2" s="74"/>
      <c r="AD2" s="188"/>
      <c r="AE2" s="188"/>
      <c r="AF2" s="188"/>
      <c r="AG2" s="188"/>
      <c r="AH2" s="188"/>
      <c r="AI2" s="188"/>
      <c r="AK2" s="75"/>
      <c r="AP2" s="160"/>
      <c r="AQ2" s="189"/>
      <c r="AR2" s="189"/>
      <c r="AS2" s="189"/>
      <c r="AT2" s="189"/>
      <c r="AU2" s="189"/>
      <c r="AV2" s="35"/>
      <c r="BA2" s="77"/>
      <c r="BB2" s="78"/>
      <c r="BC2" s="79"/>
      <c r="BD2" s="75"/>
      <c r="BE2" s="75"/>
      <c r="BF2" s="75"/>
      <c r="BG2" s="75"/>
    </row>
    <row r="3" spans="1:74" ht="18.75" customHeight="1" x14ac:dyDescent="0.45">
      <c r="A3" s="170"/>
      <c r="B3" s="170"/>
      <c r="C3" s="170"/>
      <c r="D3" s="170"/>
      <c r="E3" s="170"/>
      <c r="F3" s="170"/>
      <c r="H3" s="80"/>
      <c r="I3" s="80"/>
      <c r="J3" s="81"/>
      <c r="K3" s="73"/>
      <c r="W3" s="82">
        <f>W1/2/SQRT(3)</f>
        <v>6.9981850810863735E-2</v>
      </c>
      <c r="Z3" s="54" t="s">
        <v>68</v>
      </c>
      <c r="AA3" s="83">
        <v>0.01</v>
      </c>
      <c r="AB3" s="54"/>
      <c r="AD3" s="7"/>
      <c r="AE3" s="7"/>
      <c r="AF3" s="84" t="s">
        <v>123</v>
      </c>
      <c r="AK3" s="75"/>
      <c r="AP3" s="160"/>
      <c r="AQ3" s="85"/>
      <c r="AR3" s="85"/>
      <c r="AS3" s="86" t="s">
        <v>123</v>
      </c>
      <c r="AT3" s="35"/>
      <c r="AV3" s="35"/>
      <c r="BA3" s="79"/>
      <c r="BB3" s="79"/>
      <c r="BC3" s="88" t="s">
        <v>123</v>
      </c>
      <c r="BD3" s="75"/>
      <c r="BE3" s="75"/>
      <c r="BF3" s="75"/>
      <c r="BG3" s="75"/>
    </row>
    <row r="4" spans="1:74" ht="26.25" customHeight="1" x14ac:dyDescent="0.45">
      <c r="A4" s="171" t="s">
        <v>60</v>
      </c>
      <c r="B4" s="212" t="s">
        <v>99</v>
      </c>
      <c r="C4" s="212"/>
      <c r="D4" s="171" t="s">
        <v>102</v>
      </c>
      <c r="E4" s="213">
        <v>44672</v>
      </c>
      <c r="F4" s="212"/>
      <c r="H4" s="80" t="s">
        <v>2</v>
      </c>
      <c r="I4" s="80" t="s">
        <v>3</v>
      </c>
      <c r="J4" s="81"/>
      <c r="K4" s="73"/>
      <c r="Z4" s="54" t="s">
        <v>66</v>
      </c>
      <c r="AA4" s="54">
        <v>0.01</v>
      </c>
      <c r="AB4" s="54" t="s">
        <v>67</v>
      </c>
      <c r="AD4" s="7" t="s">
        <v>154</v>
      </c>
      <c r="AE4" s="89">
        <f>AA3^2/$K$13^2*4</f>
        <v>7.8320960250139834E-2</v>
      </c>
      <c r="AF4" s="89">
        <f>AA3*2</f>
        <v>0.02</v>
      </c>
      <c r="AK4" s="75"/>
      <c r="AP4" s="160"/>
      <c r="AQ4" s="85" t="s">
        <v>154</v>
      </c>
      <c r="AR4" s="90">
        <f>$AA$3^2/$J$13^2*4</f>
        <v>4.231397115766327E-2</v>
      </c>
      <c r="AS4" s="90">
        <f>$AA$3*2</f>
        <v>0.02</v>
      </c>
      <c r="AT4" s="35"/>
      <c r="AV4" s="35"/>
      <c r="BA4" s="79" t="s">
        <v>154</v>
      </c>
      <c r="BB4" s="91">
        <f>$AA$3^2/$L$13^2*4</f>
        <v>1.2607576489441026E-2</v>
      </c>
      <c r="BC4" s="91">
        <f>$AA$3*2</f>
        <v>0.02</v>
      </c>
      <c r="BD4" s="75"/>
      <c r="BE4" s="75"/>
      <c r="BF4" s="75"/>
      <c r="BG4" s="75"/>
    </row>
    <row r="5" spans="1:74" ht="18.5" x14ac:dyDescent="0.45">
      <c r="B5" s="73"/>
      <c r="C5" s="73"/>
      <c r="E5" s="73"/>
      <c r="F5" s="73"/>
      <c r="H5" s="80">
        <v>0.64100000000000001</v>
      </c>
      <c r="I5" s="80">
        <v>-1.9E-2</v>
      </c>
      <c r="J5" s="81"/>
      <c r="K5" s="73"/>
      <c r="Z5" s="54" t="s">
        <v>69</v>
      </c>
      <c r="AA5" s="54">
        <v>5.0000000000000001E-3</v>
      </c>
      <c r="AB5" s="54" t="s">
        <v>67</v>
      </c>
      <c r="AD5" s="7" t="s">
        <v>155</v>
      </c>
      <c r="AE5" s="89">
        <f>AV15/$K$13^2*4</f>
        <v>0.48945924159397786</v>
      </c>
      <c r="AF5" s="89">
        <f>SQRT(AV15)*2</f>
        <v>4.9997611822634222E-2</v>
      </c>
      <c r="AK5" s="75"/>
      <c r="AP5" s="160"/>
      <c r="AQ5" s="85" t="s">
        <v>155</v>
      </c>
      <c r="AR5" s="92">
        <f>$AV$15/$J$13^2*4</f>
        <v>0.26443705702168452</v>
      </c>
      <c r="AS5" s="92">
        <f>SQRT($AV$15)*2</f>
        <v>4.9997611822634222E-2</v>
      </c>
      <c r="AT5" s="35"/>
      <c r="AV5" s="35"/>
      <c r="BA5" s="79" t="s">
        <v>155</v>
      </c>
      <c r="BB5" s="93">
        <f>$AV$15/$L$13^2*4</f>
        <v>7.8789825956568915E-2</v>
      </c>
      <c r="BC5" s="93">
        <f>SQRT($AV$15)*2</f>
        <v>4.9997611822634222E-2</v>
      </c>
      <c r="BD5" s="75"/>
      <c r="BE5" s="75"/>
      <c r="BF5" s="75"/>
      <c r="BG5" s="75"/>
    </row>
    <row r="6" spans="1:74" ht="28.5" customHeight="1" thickBot="1" x14ac:dyDescent="0.5">
      <c r="A6" s="171" t="s">
        <v>26</v>
      </c>
      <c r="B6" s="212" t="s">
        <v>97</v>
      </c>
      <c r="C6" s="212"/>
      <c r="D6" s="171" t="s">
        <v>101</v>
      </c>
      <c r="E6" s="212" t="s">
        <v>166</v>
      </c>
      <c r="F6" s="212"/>
      <c r="H6" s="73"/>
      <c r="I6" s="73"/>
      <c r="J6" s="73"/>
      <c r="K6" s="73"/>
      <c r="Z6" s="54" t="s">
        <v>75</v>
      </c>
      <c r="AA6" s="54">
        <v>1E-3</v>
      </c>
      <c r="AB6" s="54" t="s">
        <v>67</v>
      </c>
      <c r="AD6" s="7" t="s">
        <v>156</v>
      </c>
      <c r="AE6" s="89">
        <f>AW15/$K$13^2*4</f>
        <v>2.1427941123163301E-2</v>
      </c>
      <c r="AF6" s="89">
        <f>SQRT(AW15)*2</f>
        <v>1.046119303858405E-2</v>
      </c>
      <c r="AK6" s="75"/>
      <c r="AP6" s="160"/>
      <c r="AQ6" s="85" t="s">
        <v>156</v>
      </c>
      <c r="AR6" s="92">
        <f>$AW$15/$J$13^2*4</f>
        <v>1.1576738586424822E-2</v>
      </c>
      <c r="AS6" s="92">
        <f>SQRT($AW$15)*2</f>
        <v>1.046119303858405E-2</v>
      </c>
      <c r="AT6" s="35"/>
      <c r="AV6" s="35"/>
      <c r="BA6" s="79" t="s">
        <v>156</v>
      </c>
      <c r="BB6" s="93">
        <f>$AW$15/$L$13^2*4</f>
        <v>3.4493244957506481E-3</v>
      </c>
      <c r="BC6" s="93">
        <f>SQRT($AW$15)*2</f>
        <v>1.046119303858405E-2</v>
      </c>
      <c r="BD6" s="75"/>
      <c r="BE6" s="75"/>
      <c r="BF6" s="75"/>
      <c r="BG6" s="75"/>
    </row>
    <row r="7" spans="1:74" ht="18.5" x14ac:dyDescent="0.45">
      <c r="A7" s="172"/>
      <c r="B7" s="183"/>
      <c r="C7" s="183"/>
      <c r="D7" s="172"/>
      <c r="E7" s="174"/>
      <c r="F7" s="174"/>
      <c r="H7" s="240" t="s">
        <v>27</v>
      </c>
      <c r="I7" s="241"/>
      <c r="J7" s="241"/>
      <c r="K7" s="241"/>
      <c r="L7" s="241"/>
      <c r="M7" s="242"/>
      <c r="Z7" s="54" t="s">
        <v>76</v>
      </c>
      <c r="AA7" s="54">
        <v>0.1</v>
      </c>
      <c r="AB7" s="54" t="s">
        <v>77</v>
      </c>
      <c r="AC7" s="94"/>
      <c r="AD7" s="7" t="s">
        <v>157</v>
      </c>
      <c r="AE7" s="89">
        <f>AY15/$K$13^2*4</f>
        <v>0.38131542093838255</v>
      </c>
      <c r="AF7" s="89">
        <f>SQRT(AY15)*2</f>
        <v>4.4129923895747478E-2</v>
      </c>
      <c r="AK7" s="75"/>
      <c r="AP7" s="160"/>
      <c r="AQ7" s="85" t="s">
        <v>157</v>
      </c>
      <c r="AR7" s="92">
        <f>$AY$15/$J$13^2*4</f>
        <v>0.20601087719082375</v>
      </c>
      <c r="AS7" s="92">
        <f>SQRT($AY$15)*2</f>
        <v>4.4129923895747478E-2</v>
      </c>
      <c r="AT7" s="35"/>
      <c r="AV7" s="35"/>
      <c r="BA7" s="79" t="s">
        <v>157</v>
      </c>
      <c r="BB7" s="93">
        <f>$AY$15/$L$13^2*4</f>
        <v>6.1381567855272517E-2</v>
      </c>
      <c r="BC7" s="93">
        <f>SQRT($AY$15)*2</f>
        <v>4.4129923895747478E-2</v>
      </c>
      <c r="BD7" s="75"/>
      <c r="BE7" s="75"/>
      <c r="BF7" s="75"/>
      <c r="BG7" s="75"/>
    </row>
    <row r="8" spans="1:74" ht="31.5" customHeight="1" x14ac:dyDescent="0.45">
      <c r="A8" s="171" t="s">
        <v>28</v>
      </c>
      <c r="B8" s="212">
        <v>2107</v>
      </c>
      <c r="C8" s="212"/>
      <c r="D8" s="222" t="s">
        <v>29</v>
      </c>
      <c r="E8" s="222"/>
      <c r="F8" s="175" t="s">
        <v>100</v>
      </c>
      <c r="H8" s="142" t="s">
        <v>30</v>
      </c>
      <c r="I8" s="145" t="s">
        <v>145</v>
      </c>
      <c r="J8" s="243" t="s">
        <v>43</v>
      </c>
      <c r="K8" s="243"/>
      <c r="L8" s="243" t="s">
        <v>146</v>
      </c>
      <c r="M8" s="244"/>
      <c r="Z8" s="54" t="s">
        <v>70</v>
      </c>
      <c r="AA8" s="83">
        <v>0.09</v>
      </c>
      <c r="AD8" s="7" t="s">
        <v>158</v>
      </c>
      <c r="AE8" s="89">
        <f>AZ15/$K$13^2*4</f>
        <v>2.1349973560943814E-3</v>
      </c>
      <c r="AF8" s="89">
        <f>SQRT(AZ15)*2</f>
        <v>3.3020957687701132E-3</v>
      </c>
      <c r="AK8" s="75"/>
      <c r="AP8" s="160"/>
      <c r="AQ8" s="85" t="s">
        <v>158</v>
      </c>
      <c r="AR8" s="92">
        <f>$AZ$15/$J$13^2*4</f>
        <v>1.1534615543391999E-3</v>
      </c>
      <c r="AS8" s="92">
        <f>SQRT($AZ$15)*2</f>
        <v>3.3020957687701132E-3</v>
      </c>
      <c r="AT8" s="35"/>
      <c r="AV8" s="35"/>
      <c r="BA8" s="79" t="s">
        <v>158</v>
      </c>
      <c r="BB8" s="93">
        <f>$AZ$15/$L$13^2*4</f>
        <v>3.4367738068770951E-4</v>
      </c>
      <c r="BC8" s="93">
        <f>SQRT($AZ$15)*2</f>
        <v>3.3020957687701132E-3</v>
      </c>
      <c r="BD8" s="75"/>
      <c r="BE8" s="75"/>
      <c r="BF8" s="75"/>
      <c r="BG8" s="75"/>
    </row>
    <row r="9" spans="1:74" ht="18.5" x14ac:dyDescent="0.45">
      <c r="A9" s="172"/>
      <c r="B9" s="73"/>
      <c r="C9" s="73"/>
      <c r="D9" s="172"/>
      <c r="E9" s="97"/>
      <c r="F9" s="97"/>
      <c r="H9" s="95">
        <f>IF(ISBLANK(B17),"",ROUND(SUM(L17:L42),3-(1+INT(LOG10(ABS(SUM(L17:L42)))))))</f>
        <v>9.8900000000000002E-2</v>
      </c>
      <c r="I9" s="141">
        <f>IF(ISNUMBER($H$9),ROUND(SUM(K17:K42),3-(1+INT(LOG10(ABS(SUM(K17:K42)))))),"")</f>
        <v>0.45800000000000002</v>
      </c>
      <c r="J9" s="246">
        <f>IF(ISNUMBER($H$9),ROUND(H9/I9,3-(1+INT(LOG10(ABS(H9/I9))))),"")</f>
        <v>0.216</v>
      </c>
      <c r="K9" s="246"/>
      <c r="L9" s="247">
        <f>IF(ISNUMBER($H$9),COUNTA(B17:B42)-2,"")</f>
        <v>13</v>
      </c>
      <c r="M9" s="248"/>
      <c r="Z9" s="54" t="s">
        <v>106</v>
      </c>
      <c r="AA9" s="54">
        <v>15</v>
      </c>
      <c r="AB9" s="54" t="s">
        <v>107</v>
      </c>
      <c r="AC9" s="75">
        <f>AA9/180*PI()</f>
        <v>0.26179938779914941</v>
      </c>
      <c r="AD9" s="7" t="s">
        <v>160</v>
      </c>
      <c r="AE9" s="89">
        <f>BM15/$K$13^2*4</f>
        <v>2.1862552545020997E-2</v>
      </c>
      <c r="AF9" s="89">
        <f>SQRT(BM15)*2</f>
        <v>1.0566749867367003E-2</v>
      </c>
      <c r="AK9" s="75"/>
      <c r="AP9" s="160"/>
      <c r="AQ9" s="85" t="s">
        <v>159</v>
      </c>
      <c r="AR9" s="92">
        <f>$AA$12^2/$J$13^2*4</f>
        <v>0.4745078944890645</v>
      </c>
      <c r="AS9" s="90">
        <f>AN9*2</f>
        <v>0</v>
      </c>
      <c r="AT9" s="35"/>
      <c r="AV9" s="35"/>
      <c r="BA9" s="79" t="s">
        <v>159</v>
      </c>
      <c r="BB9" s="93">
        <f>AA14^2/$L$13^2*4</f>
        <v>0.84342802782227955</v>
      </c>
      <c r="BC9" s="91">
        <f>AA14*2</f>
        <v>0.16358301343879789</v>
      </c>
      <c r="BD9" s="75"/>
      <c r="BE9" s="75"/>
      <c r="BF9" s="75"/>
      <c r="BG9" s="75"/>
    </row>
    <row r="10" spans="1:74" ht="18.5" x14ac:dyDescent="0.45">
      <c r="A10" s="171" t="s">
        <v>31</v>
      </c>
      <c r="B10" s="229" t="s">
        <v>163</v>
      </c>
      <c r="C10" s="212"/>
      <c r="D10" s="171" t="s">
        <v>32</v>
      </c>
      <c r="E10" s="230" t="s">
        <v>165</v>
      </c>
      <c r="F10" s="231"/>
      <c r="H10" s="96"/>
      <c r="I10" s="97"/>
      <c r="J10" s="97"/>
      <c r="K10" s="34"/>
      <c r="L10" s="156"/>
      <c r="M10" s="48"/>
      <c r="X10" s="24"/>
      <c r="AD10" s="7" t="s">
        <v>161</v>
      </c>
      <c r="AE10" s="89">
        <f>BN15/$K$13^2*4</f>
        <v>5.4788861932208834E-3</v>
      </c>
      <c r="AF10" s="89">
        <f>SQRT(BN15)*2</f>
        <v>5.2897741945856338E-3</v>
      </c>
      <c r="AK10" s="75"/>
      <c r="AP10" s="160"/>
      <c r="AQ10" s="35"/>
      <c r="AR10" s="35"/>
      <c r="AS10" s="35"/>
      <c r="AT10" s="35"/>
      <c r="AV10" s="35"/>
      <c r="BA10" s="75"/>
      <c r="BB10" s="75"/>
      <c r="BC10" s="75"/>
      <c r="BD10" s="75"/>
      <c r="BE10" s="75"/>
      <c r="BF10" s="75"/>
      <c r="BG10" s="75"/>
    </row>
    <row r="11" spans="1:74" ht="18.649999999999999" customHeight="1" x14ac:dyDescent="0.45">
      <c r="A11" s="171"/>
      <c r="B11" s="212"/>
      <c r="C11" s="212"/>
      <c r="D11" s="171"/>
      <c r="E11" s="231"/>
      <c r="F11" s="231"/>
      <c r="H11" s="249" t="s">
        <v>41</v>
      </c>
      <c r="I11" s="250" t="s">
        <v>147</v>
      </c>
      <c r="J11" s="251" t="s">
        <v>148</v>
      </c>
      <c r="K11" s="251"/>
      <c r="L11" s="251"/>
      <c r="M11" s="252"/>
      <c r="Z11" s="237" t="s">
        <v>150</v>
      </c>
      <c r="AA11" s="237"/>
      <c r="AB11" s="54"/>
      <c r="AC11" s="94"/>
      <c r="AK11" s="75"/>
      <c r="AP11" s="160"/>
      <c r="AQ11" s="35"/>
      <c r="AR11" s="35"/>
      <c r="AS11" s="35"/>
      <c r="AT11" s="35"/>
      <c r="AV11" s="35"/>
      <c r="BA11" s="75"/>
      <c r="BB11" s="75"/>
      <c r="BC11" s="75"/>
      <c r="BD11" s="75"/>
      <c r="BE11" s="75"/>
      <c r="BF11" s="75"/>
      <c r="BG11" s="75"/>
    </row>
    <row r="12" spans="1:74" ht="18.649999999999999" customHeight="1" x14ac:dyDescent="0.45">
      <c r="B12" s="73"/>
      <c r="C12" s="73"/>
      <c r="E12" s="97"/>
      <c r="F12" s="97"/>
      <c r="H12" s="249"/>
      <c r="I12" s="250"/>
      <c r="J12" s="143" t="s">
        <v>139</v>
      </c>
      <c r="K12" s="143" t="s">
        <v>119</v>
      </c>
      <c r="L12" s="143" t="s">
        <v>122</v>
      </c>
      <c r="M12" s="144"/>
      <c r="Z12" s="54" t="s">
        <v>141</v>
      </c>
      <c r="AA12" s="98">
        <f>(32*L9^(-0.88))/100</f>
        <v>3.3487276517122161E-2</v>
      </c>
      <c r="AK12" s="75"/>
      <c r="AP12" s="160"/>
      <c r="AQ12" s="85"/>
      <c r="AR12" s="85"/>
      <c r="AS12" s="85"/>
      <c r="AT12" s="35"/>
      <c r="AV12" s="35"/>
      <c r="BA12" s="75"/>
      <c r="BB12" s="75"/>
      <c r="BC12" s="75"/>
      <c r="BD12" s="75"/>
      <c r="BE12" s="75"/>
      <c r="BF12" s="75"/>
      <c r="BG12" s="75"/>
    </row>
    <row r="13" spans="1:74" ht="32.15" customHeight="1" thickBot="1" x14ac:dyDescent="0.5">
      <c r="A13" s="171" t="s">
        <v>61</v>
      </c>
      <c r="B13" s="212">
        <v>9.5</v>
      </c>
      <c r="C13" s="212"/>
      <c r="D13" s="171" t="s">
        <v>62</v>
      </c>
      <c r="E13" s="231">
        <v>9.5</v>
      </c>
      <c r="F13" s="231"/>
      <c r="H13" s="99">
        <f>IF(ISNUMBER($H$9),ROUND(H9*1000,3-(1+INT(LOG10(ABS(H9*1000))))),"")</f>
        <v>98.9</v>
      </c>
      <c r="I13" s="121">
        <f>IF(ISNUMBER($H$9),(H9-AJ15)/H9,"")</f>
        <v>0.97487672268524883</v>
      </c>
      <c r="J13" s="49">
        <f>IF(ISNUMBER($H$9),2*SQRT(AA3^2+AA12^2+AU15),"")</f>
        <v>9.7227272518592908E-2</v>
      </c>
      <c r="K13" s="49">
        <f>IF(ISNUMBER($H$9),2*SQRT(AA3^2+BQ15),"")</f>
        <v>7.146460439306393E-2</v>
      </c>
      <c r="L13" s="134">
        <f>IF(ISNUMBER($H$9),2*SQRT(AA3^2+AA14^2+AU15),"")</f>
        <v>0.17812061658602535</v>
      </c>
      <c r="M13" s="100"/>
      <c r="Z13" s="54" t="s">
        <v>128</v>
      </c>
      <c r="AA13" s="101">
        <f>IF(AL15=0,0,AM15/AL15*AO15/H9)</f>
        <v>0.41586545422680143</v>
      </c>
      <c r="AD13" s="7" t="s">
        <v>82</v>
      </c>
      <c r="AE13" s="102">
        <f>SUM(AE4:AE10)</f>
        <v>0.99999999999999978</v>
      </c>
      <c r="AK13" s="75"/>
      <c r="AP13" s="160"/>
      <c r="AQ13" s="85" t="s">
        <v>82</v>
      </c>
      <c r="AR13" s="103">
        <f>SUM(AR4:AR9)</f>
        <v>1</v>
      </c>
      <c r="AS13" s="85"/>
      <c r="AT13" s="104"/>
      <c r="AU13" s="105"/>
      <c r="AV13" s="104"/>
      <c r="BA13" s="79" t="s">
        <v>82</v>
      </c>
      <c r="BB13" s="106">
        <f>SUM(BB4:BB9)</f>
        <v>1.0000000000000004</v>
      </c>
      <c r="BC13" s="79"/>
      <c r="BD13" s="75"/>
      <c r="BE13" s="75"/>
      <c r="BF13" s="75"/>
      <c r="BG13" s="75"/>
      <c r="BH13" s="104"/>
      <c r="BI13" s="104"/>
      <c r="BJ13" s="104"/>
      <c r="BK13" s="104"/>
      <c r="BO13" s="35" t="s">
        <v>131</v>
      </c>
      <c r="BP13" s="35" t="s">
        <v>130</v>
      </c>
    </row>
    <row r="14" spans="1:74" ht="11.25" customHeight="1" x14ac:dyDescent="0.35">
      <c r="Z14" s="54" t="s">
        <v>129</v>
      </c>
      <c r="AA14" s="98">
        <f>IF(AA13&lt;1.2,(-5.9*AA13^2+21.4*AA13+0.3)/100,(-5.9*1.2^2+21.4*1.2+0.3)/100)</f>
        <v>8.1791506719398943E-2</v>
      </c>
      <c r="AB14" s="54"/>
      <c r="AL14" s="75" t="s">
        <v>91</v>
      </c>
      <c r="AM14" s="75" t="s">
        <v>92</v>
      </c>
      <c r="AO14" s="75" t="s">
        <v>93</v>
      </c>
      <c r="BO14" s="35">
        <f t="array" ref="BO14">MAX(IF(ISNA(BO17:BO42),,BO17:BO42))*180/PI()</f>
        <v>33.360525400998654</v>
      </c>
      <c r="BP14" s="35">
        <f>BP15/PI()*180</f>
        <v>15.194553797827865</v>
      </c>
      <c r="BR14" s="35" t="s">
        <v>136</v>
      </c>
    </row>
    <row r="15" spans="1:74" s="108" customFormat="1" ht="58.5" customHeight="1" x14ac:dyDescent="0.45">
      <c r="A15" s="177" t="s">
        <v>33</v>
      </c>
      <c r="B15" s="177" t="s">
        <v>34</v>
      </c>
      <c r="C15" s="177" t="s">
        <v>35</v>
      </c>
      <c r="D15" s="177" t="s">
        <v>36</v>
      </c>
      <c r="E15" s="177" t="s">
        <v>37</v>
      </c>
      <c r="F15" s="177" t="s">
        <v>19</v>
      </c>
      <c r="H15" s="70" t="s">
        <v>42</v>
      </c>
      <c r="I15" s="70" t="s">
        <v>43</v>
      </c>
      <c r="J15" s="70" t="s">
        <v>38</v>
      </c>
      <c r="K15" s="70" t="s">
        <v>39</v>
      </c>
      <c r="L15" s="157" t="s">
        <v>40</v>
      </c>
      <c r="M15" s="70" t="s">
        <v>50</v>
      </c>
      <c r="N15" s="70" t="s">
        <v>51</v>
      </c>
      <c r="O15" s="36"/>
      <c r="P15" s="37" t="s">
        <v>56</v>
      </c>
      <c r="Q15" s="36"/>
      <c r="R15" s="36"/>
      <c r="S15" s="36"/>
      <c r="T15" s="36"/>
      <c r="U15" s="36"/>
      <c r="V15" s="36"/>
      <c r="W15" s="36"/>
      <c r="X15" s="36"/>
      <c r="Y15" s="57"/>
      <c r="Z15" s="54" t="s">
        <v>142</v>
      </c>
      <c r="AA15" s="98">
        <f>SQRT(BM15+BN15)</f>
        <v>5.9084243624930302E-3</v>
      </c>
      <c r="AB15" s="36"/>
      <c r="AC15" s="107"/>
      <c r="AD15" s="253" t="s">
        <v>94</v>
      </c>
      <c r="AE15" s="253"/>
      <c r="AF15" s="253"/>
      <c r="AG15" s="253" t="s">
        <v>95</v>
      </c>
      <c r="AH15" s="253"/>
      <c r="AI15" s="253"/>
      <c r="AJ15" s="161">
        <f>SUM(AJ17:AJ42)</f>
        <v>2.4846921264288918E-3</v>
      </c>
      <c r="AL15" s="107">
        <f t="array" ref="AL15">STDEVA(IF(AL17:AL42&lt;&gt;0,AL17:AL42))</f>
        <v>2.5839534247668581E-2</v>
      </c>
      <c r="AM15" s="107">
        <f t="array" ref="AM15">STDEVA(IF(AM17:AM42&lt;&gt;0,AM17:AM42))</f>
        <v>2.1675766022528301E-2</v>
      </c>
      <c r="AN15" s="107"/>
      <c r="AO15" s="107">
        <f>SUM(AO18:AO42)</f>
        <v>4.9029714427411941E-2</v>
      </c>
      <c r="AP15" s="162"/>
      <c r="AQ15" s="107"/>
      <c r="AR15" s="107"/>
      <c r="AS15" s="107"/>
      <c r="AT15" s="107"/>
      <c r="AU15" s="105">
        <f>SUM(AU17:AU42)</f>
        <v>1.1418879418169815E-3</v>
      </c>
      <c r="AV15" s="109">
        <f t="shared" ref="AV15:AX15" si="0">SUM(AV17:AV42)</f>
        <v>6.2494029699170341E-4</v>
      </c>
      <c r="AW15" s="109">
        <f t="shared" si="0"/>
        <v>2.7359139947629847E-5</v>
      </c>
      <c r="AX15" s="109">
        <f t="shared" si="0"/>
        <v>0</v>
      </c>
      <c r="AY15" s="109">
        <f>SUM(AY17:AY42)</f>
        <v>4.8686254576111606E-4</v>
      </c>
      <c r="AZ15" s="110">
        <f>SUM(AZ17:AZ42)</f>
        <v>2.7259591165323714E-6</v>
      </c>
      <c r="BB15" s="245" t="s">
        <v>162</v>
      </c>
      <c r="BC15" s="245"/>
      <c r="BD15" s="245"/>
      <c r="BE15" s="245"/>
      <c r="BF15" s="245"/>
      <c r="BG15" s="245"/>
      <c r="BH15" s="245"/>
      <c r="BI15" s="245"/>
      <c r="BJ15" s="245"/>
      <c r="BK15" s="245"/>
      <c r="BM15" s="108">
        <f t="shared" ref="BM15:BN15" si="1">SUM(BM17:BM42)</f>
        <v>2.7914050689875146E-5</v>
      </c>
      <c r="BN15" s="108">
        <f t="shared" si="1"/>
        <v>6.9954277574260226E-6</v>
      </c>
      <c r="BP15" s="108">
        <f>SUMIF(BP17:BP42,"&lt;&gt;#N/A")/$H$9</f>
        <v>0.26519499214350506</v>
      </c>
      <c r="BQ15" s="111">
        <f>SUM(BQ17:BQ42)</f>
        <v>1.1767974202642828E-3</v>
      </c>
      <c r="BR15" s="108">
        <f>SUM(AV15:AZ15,BM15:BN15)-BQ15</f>
        <v>0</v>
      </c>
      <c r="BS15" s="162"/>
      <c r="BT15" s="162" t="s">
        <v>172</v>
      </c>
      <c r="BU15" s="162" t="s">
        <v>173</v>
      </c>
      <c r="BV15" s="162">
        <v>0</v>
      </c>
    </row>
    <row r="16" spans="1:74" s="108" customFormat="1" ht="21" customHeight="1" x14ac:dyDescent="0.45">
      <c r="A16" s="1"/>
      <c r="B16" s="1"/>
      <c r="C16" s="1"/>
      <c r="D16" s="1"/>
      <c r="E16" s="1"/>
      <c r="F16" s="1"/>
      <c r="H16" s="1"/>
      <c r="I16" s="1"/>
      <c r="J16" s="1"/>
      <c r="K16" s="1"/>
      <c r="L16" s="158"/>
      <c r="O16" s="36"/>
      <c r="P16" s="37" t="s">
        <v>23</v>
      </c>
      <c r="Q16" s="36"/>
      <c r="R16" s="36"/>
      <c r="S16" s="36"/>
      <c r="T16" s="37" t="s">
        <v>24</v>
      </c>
      <c r="U16" s="36"/>
      <c r="V16" s="36"/>
      <c r="W16" s="36"/>
      <c r="X16" s="36"/>
      <c r="Y16" s="57" t="s">
        <v>25</v>
      </c>
      <c r="Z16" s="36"/>
      <c r="AA16" s="57"/>
      <c r="AB16" s="36"/>
      <c r="AC16" s="107" t="s">
        <v>55</v>
      </c>
      <c r="AD16" s="107" t="s">
        <v>52</v>
      </c>
      <c r="AE16" s="107" t="s">
        <v>53</v>
      </c>
      <c r="AF16" s="107" t="s">
        <v>54</v>
      </c>
      <c r="AG16" s="107" t="s">
        <v>52</v>
      </c>
      <c r="AH16" s="107" t="s">
        <v>53</v>
      </c>
      <c r="AI16" s="107" t="s">
        <v>54</v>
      </c>
      <c r="AJ16" s="162" t="s">
        <v>167</v>
      </c>
      <c r="AL16" s="107" t="s">
        <v>71</v>
      </c>
      <c r="AM16" s="107" t="s">
        <v>72</v>
      </c>
      <c r="AN16" s="107" t="s">
        <v>73</v>
      </c>
      <c r="AO16" s="107" t="s">
        <v>74</v>
      </c>
      <c r="AP16" s="162" t="s">
        <v>78</v>
      </c>
      <c r="AQ16" s="107" t="s">
        <v>80</v>
      </c>
      <c r="AR16" s="107" t="s">
        <v>79</v>
      </c>
      <c r="AS16" s="107" t="s">
        <v>133</v>
      </c>
      <c r="AT16" s="107" t="s">
        <v>134</v>
      </c>
      <c r="AU16" s="105" t="s">
        <v>81</v>
      </c>
      <c r="AV16" s="107" t="s">
        <v>83</v>
      </c>
      <c r="AW16" s="107" t="s">
        <v>84</v>
      </c>
      <c r="AX16" s="107" t="s">
        <v>85</v>
      </c>
      <c r="AY16" s="107" t="s">
        <v>132</v>
      </c>
      <c r="AZ16" s="112" t="s">
        <v>135</v>
      </c>
      <c r="BA16" s="108" t="s">
        <v>108</v>
      </c>
      <c r="BB16" s="108" t="s">
        <v>109</v>
      </c>
      <c r="BC16" s="108" t="s">
        <v>110</v>
      </c>
      <c r="BD16" s="108" t="s">
        <v>111</v>
      </c>
      <c r="BE16" s="108" t="s">
        <v>112</v>
      </c>
      <c r="BF16" s="108" t="s">
        <v>104</v>
      </c>
      <c r="BG16" s="108" t="s">
        <v>113</v>
      </c>
      <c r="BH16" s="108" t="s">
        <v>114</v>
      </c>
      <c r="BI16" s="108" t="s">
        <v>115</v>
      </c>
      <c r="BJ16" s="108" t="s">
        <v>116</v>
      </c>
      <c r="BK16" s="108" t="s">
        <v>105</v>
      </c>
      <c r="BM16" s="108" t="s">
        <v>137</v>
      </c>
      <c r="BN16" s="108" t="s">
        <v>138</v>
      </c>
      <c r="BO16" s="108" t="s">
        <v>126</v>
      </c>
      <c r="BP16" s="108" t="s">
        <v>127</v>
      </c>
      <c r="BQ16" s="111" t="s">
        <v>118</v>
      </c>
      <c r="BS16" s="162"/>
      <c r="BT16" s="162"/>
      <c r="BU16" s="162" t="s">
        <v>169</v>
      </c>
      <c r="BV16" s="162" t="s">
        <v>170</v>
      </c>
    </row>
    <row r="17" spans="1:74" ht="36" customHeight="1" x14ac:dyDescent="0.45">
      <c r="A17" s="178">
        <v>1</v>
      </c>
      <c r="B17" s="179">
        <v>1.88</v>
      </c>
      <c r="C17" s="179">
        <v>15</v>
      </c>
      <c r="D17" s="186"/>
      <c r="E17" s="179">
        <v>0.67</v>
      </c>
      <c r="F17" s="179"/>
      <c r="H17" s="113">
        <f t="shared" ref="H17:H31" si="2">IF(ISBLANK(B17),"",SQRT(2*9.81*D17/1000))</f>
        <v>0</v>
      </c>
      <c r="I17" s="113">
        <f>(2*E17-1)*I18</f>
        <v>6.8315973070178115E-2</v>
      </c>
      <c r="J17" s="114">
        <f>IF(ISBLANK(B17),"",I17*C17/100)</f>
        <v>1.0247395960526717E-2</v>
      </c>
      <c r="K17" s="113">
        <f>ABS(B18-B17)/2*C17/100</f>
        <v>1.3500000000000012E-2</v>
      </c>
      <c r="L17" s="163">
        <f>IF(ISBLANK(B17),"",I17*K17)</f>
        <v>9.2226563644740532E-4</v>
      </c>
      <c r="M17" s="115">
        <f>IF(ISBLANK(B17),0,L17/$H$9)</f>
        <v>9.3252339377897404E-3</v>
      </c>
      <c r="N17" s="116">
        <f>IF(ISBLANK(B17),"",-C17/100)</f>
        <v>-0.15</v>
      </c>
      <c r="O17" s="38">
        <f>E17</f>
        <v>0.67</v>
      </c>
      <c r="P17" s="38">
        <f>B17</f>
        <v>1.88</v>
      </c>
      <c r="Q17" s="38">
        <f t="shared" ref="Q17:Q42" si="3">$O$18*((P17-P$17)/(P$42-P$17))^(1/$O$17-1)</f>
        <v>0</v>
      </c>
      <c r="R17" s="38"/>
      <c r="S17" s="38">
        <f>LOOKUP(2,1/(B17:B42&lt;&gt;""),E17:E42)</f>
        <v>0.86</v>
      </c>
      <c r="T17" s="38">
        <f>LOOKUP(2,1/(B17:B42&lt;&gt;""),B17:B42)</f>
        <v>3.6</v>
      </c>
      <c r="U17" s="38">
        <f t="shared" ref="U17:U42" si="4">$S$18*((T17-T$17)/(T$42-T$17))^(1/$S$17-1)</f>
        <v>0</v>
      </c>
      <c r="V17" s="38"/>
      <c r="W17" s="38" t="e">
        <f>IF(OR(B16="",B18=""),NA(),I17)</f>
        <v>#N/A</v>
      </c>
      <c r="X17" s="38"/>
      <c r="Y17" s="58">
        <f>P17</f>
        <v>1.88</v>
      </c>
      <c r="Z17" s="38">
        <v>0</v>
      </c>
      <c r="AA17" s="58">
        <f t="shared" ref="AA17:AA20" si="5">-Z17/100</f>
        <v>0</v>
      </c>
      <c r="AB17" s="38"/>
      <c r="AC17" s="75">
        <f>B17</f>
        <v>1.88</v>
      </c>
      <c r="AD17" s="117">
        <f>IF(OR($M17&gt;0.1,$B17=""),NA(),I17)</f>
        <v>6.8315973070178115E-2</v>
      </c>
      <c r="AE17" s="117" t="e">
        <f>IF(AND($M17&gt;0.1,$M17&lt;0.15),I17,NA())</f>
        <v>#N/A</v>
      </c>
      <c r="AF17" s="117" t="e">
        <f>IF($M17&lt;0.15,NA(),I17)</f>
        <v>#N/A</v>
      </c>
      <c r="AG17" s="118">
        <f>IF($M17&gt;0.1,NA(),$M17)</f>
        <v>9.3252339377897404E-3</v>
      </c>
      <c r="AH17" s="118" t="e">
        <f>IF(AND($M17&gt;0.1,$M17&lt;0.15),$M17,NA())</f>
        <v>#N/A</v>
      </c>
      <c r="AI17" s="118" t="e">
        <f>IF($M17&lt;0.15,NA(),$M17)</f>
        <v>#N/A</v>
      </c>
      <c r="AJ17" s="164">
        <f>AP17</f>
        <v>9.2226563644740532E-4</v>
      </c>
      <c r="AL17" s="75">
        <f t="shared" ref="AL17:AL42" si="6">IF(ISBLANK(D17),0,J17)</f>
        <v>0</v>
      </c>
      <c r="AP17" s="165">
        <f>IF(ISNUMBER(L17),L17,0)</f>
        <v>9.2226563644740532E-4</v>
      </c>
      <c r="AQ17" s="75">
        <f>$AA$4/ABS(B18-B17)</f>
        <v>5.5555555555555511E-2</v>
      </c>
      <c r="AR17" s="75">
        <f>IF(C17=0,0,$AA$5/C17*100)</f>
        <v>3.3333333333333333E-2</v>
      </c>
      <c r="AS17" s="75">
        <f>IF(I18=0,0,$AA$11/I18)</f>
        <v>0</v>
      </c>
      <c r="AT17" s="119">
        <f>IF(D18=0,0,SQRT($AA$6^2/4/(D18/1000)^2+$AA$7^2*D18/1000))</f>
        <v>8.3692559074534489E-2</v>
      </c>
      <c r="AU17" s="87">
        <f>SUM(AV17:AZ17)</f>
        <v>1.678499541109748E-6</v>
      </c>
      <c r="AV17" s="75">
        <f t="shared" ref="AV17:AV42" si="7">AP17^2/$H$9^2*(AQ17^2)</f>
        <v>2.6839502467439937E-7</v>
      </c>
      <c r="AW17" s="75">
        <f t="shared" ref="AW17:AW42" si="8">AP17^2/$H$9^2*(AR17^2)</f>
        <v>9.6622208882783935E-8</v>
      </c>
      <c r="AX17" s="75">
        <f t="shared" ref="AX17:AX42" si="9">AP17^2/$H$9^2*(AS17^2)</f>
        <v>0</v>
      </c>
      <c r="AY17" s="75">
        <f>AP17^2/$H$9^2*(AT17^2)</f>
        <v>6.0910640479706993E-7</v>
      </c>
      <c r="AZ17" s="76">
        <f>AP17^2/$H$9^2*($AA$8^2)</f>
        <v>7.0437590275549475E-7</v>
      </c>
      <c r="BA17" s="35">
        <f>IF(C17=0,0,AN18*TAN($AA$9/180*PI())/(4*SQRT(3)*C17/100))</f>
        <v>4.64101615137755E-2</v>
      </c>
      <c r="BB17" s="35">
        <f t="shared" ref="BB17:BB42" si="10">IF(OR(ISBLANK(E17),ISBLANK(B18)),MAX(0,$C17/100-$AN17/2*TAN($AC$9)),0)</f>
        <v>0</v>
      </c>
      <c r="BC17" s="35">
        <f t="shared" ref="BC17:BC42" si="11">IF(OR(ISBLANK(E17),ISBLANK(B16)),MAX(0,$C17/100-$AN18/2*TAN($AC$9)),0)</f>
        <v>0.12588457268119893</v>
      </c>
      <c r="BD17" s="35">
        <f t="shared" ref="BD17:BD42" si="12">IF(OR(ISBLANK(E17),ISBLANK(B18)),$C17/100+$AN17/2*TAN($AC$9),0)</f>
        <v>0</v>
      </c>
      <c r="BE17" s="35">
        <f t="shared" ref="BE17:BE42" si="13">IF(OR(ISBLANK(E17),ISBLANK(B16)),$C17/100+$AN18/2*TAN($AC$9),0)</f>
        <v>0.17411542731880106</v>
      </c>
      <c r="BF17" s="35">
        <f t="shared" ref="BF17:BF42" si="14">IF(C17=0,0,IF(ISBLANK($B17),0,((BD17-BB17)*$AN17+(BE17-BC17)*$AN18)/(($AN17+$AN18)*4*SQRT(3)*$C17/100)))</f>
        <v>4.6410161513775507E-2</v>
      </c>
      <c r="BG17" s="35">
        <f t="shared" ref="BG17:BG42" si="15">IF(C17=0,0,IF(ISBLANK($B17),0,$I17*SQRT(BB17/$C17*100)))</f>
        <v>0</v>
      </c>
      <c r="BH17" s="35">
        <f t="shared" ref="BH17:BH42" si="16">IF(C17=0,0,IF(ISBLANK($B17),0,$I17*SQRT(BC17/$C17*100)))</f>
        <v>6.2583937588607114E-2</v>
      </c>
      <c r="BI17" s="35">
        <f t="shared" ref="BI17:BI42" si="17">IF(C17=0,0,IF(ISBLANK($B17),0,$I17*SQRT(BD17/$C17*100)))</f>
        <v>0</v>
      </c>
      <c r="BJ17" s="35">
        <f t="shared" ref="BJ17:BJ42" si="18">IF(C17=0,0,IF(ISBLANK($B17),0,$I17*SQRT(BE17/$C17*100)))</f>
        <v>7.360295584387852E-2</v>
      </c>
      <c r="BK17" s="35">
        <f>IF(I17=0,0,IF(ISBLANK($B17),0,((BI17-BG17)*$AN17+(BJ17-BH17)*$AN18)/(($AN17+$AN18)*4*SQRT(3)*$I17)))</f>
        <v>2.3280913928251833E-2</v>
      </c>
      <c r="BM17" s="35">
        <f>$AP17^2/$H$9^2*(BF17^2)</f>
        <v>1.8730338699858039E-7</v>
      </c>
      <c r="BN17" s="35">
        <f>$AP17^2/$H$9^2*(BK17^2)</f>
        <v>4.7132396394993475E-8</v>
      </c>
      <c r="BO17" s="35">
        <f>ATAN(ABS(C18-C17)/100/AN18)</f>
        <v>0.19204801724072992</v>
      </c>
      <c r="BP17" s="35">
        <f t="shared" ref="BP17:BP42" si="19">BO17*L17</f>
        <v>1.7711928684898404E-4</v>
      </c>
      <c r="BQ17" s="47">
        <f t="shared" ref="BQ17:BQ42" si="20">SUM(AV17:AZ17,BM17,BN17)</f>
        <v>1.912935324503322E-6</v>
      </c>
      <c r="BS17" s="159">
        <v>1</v>
      </c>
      <c r="BT17" s="159">
        <v>1</v>
      </c>
      <c r="BU17" s="166">
        <f>IF(ISNUMBER(BV17),IF(OR(ISBLANK(INDEX(B$17:B$43,BS17)),ISBLANK(INDEX(B$17:B$43,BT17))),INDEX(B$17:B$43,BS17),(INDEX(B$17:B$43,BS17)+INDEX(B$17:B$43,BT17))/2),BU16)</f>
        <v>1.88</v>
      </c>
      <c r="BV17" s="159">
        <f>INDEX(N$17:N$42,BS17)</f>
        <v>-0.15</v>
      </c>
    </row>
    <row r="18" spans="1:74" ht="36" customHeight="1" x14ac:dyDescent="0.45">
      <c r="A18" s="180">
        <v>2</v>
      </c>
      <c r="B18" s="181">
        <v>2.06</v>
      </c>
      <c r="C18" s="181">
        <v>18.5</v>
      </c>
      <c r="D18" s="181">
        <v>6</v>
      </c>
      <c r="E18" s="181"/>
      <c r="F18" s="181"/>
      <c r="H18" s="113">
        <f>IF(ISBLANK(B18),"",SQRT(2*9.81*D18/1000))</f>
        <v>0.34310348293189913</v>
      </c>
      <c r="I18" s="113">
        <f>IF(ISBLANK(B19),IF(ISBLANK(B18),"",(2*E18-1)*I17),MAX(0,$H$5*H18+$I$5))</f>
        <v>0.20092933255934736</v>
      </c>
      <c r="J18" s="114">
        <f t="shared" ref="J18:J31" si="21">IF(ISBLANK(B18),"",I18*C18/100)</f>
        <v>3.7171926523479261E-2</v>
      </c>
      <c r="K18" s="113">
        <f>IF(ISBLANK(B18),"",IF(ISBLANK(B19),ABS(B17-B18)/2*C18/100,ABS(B19-B17)/2*C18/100))</f>
        <v>2.6825000000000002E-2</v>
      </c>
      <c r="L18" s="163">
        <f t="shared" ref="L18:L30" si="22">IF(ISBLANK(B18),"",I18*K18)</f>
        <v>5.3899293459044933E-3</v>
      </c>
      <c r="M18" s="115">
        <f t="shared" ref="M18:M31" si="23">IF(ISBLANK(B18),0,L18/$H$9)</f>
        <v>5.4498780039479201E-2</v>
      </c>
      <c r="N18" s="116">
        <f t="shared" ref="N18:N31" si="24">IF(ISBLANK(B18),"",-C18/100)</f>
        <v>-0.185</v>
      </c>
      <c r="O18" s="39">
        <f>I18</f>
        <v>0.20092933255934736</v>
      </c>
      <c r="P18" s="38">
        <f t="shared" ref="P18:P41" si="25">(P$42-P$17)/25+P17</f>
        <v>1.8872</v>
      </c>
      <c r="Q18" s="38">
        <f t="shared" si="3"/>
        <v>4.1162877386811146E-2</v>
      </c>
      <c r="R18" s="38"/>
      <c r="S18" s="39">
        <f>LOOKUP(2,1/(D17:D42&lt;&gt;""),I17:I42)</f>
        <v>0.20092933255934736</v>
      </c>
      <c r="T18" s="38">
        <f t="shared" ref="T18:T41" si="26">(T$42-T$17)/25+T17</f>
        <v>3.5928</v>
      </c>
      <c r="U18" s="38">
        <f t="shared" si="4"/>
        <v>0.11897938296138279</v>
      </c>
      <c r="V18" s="38"/>
      <c r="W18" s="38">
        <f>IF(OR(B17="",B19=""),NA(),I18)</f>
        <v>0.20092933255934736</v>
      </c>
      <c r="X18" s="38"/>
      <c r="Y18" s="58">
        <f>P17</f>
        <v>1.88</v>
      </c>
      <c r="Z18" s="38">
        <f>C17</f>
        <v>15</v>
      </c>
      <c r="AA18" s="58">
        <f t="shared" si="5"/>
        <v>-0.15</v>
      </c>
      <c r="AB18" s="38"/>
      <c r="AC18" s="75">
        <f t="shared" ref="AC18:AC42" si="27">B18</f>
        <v>2.06</v>
      </c>
      <c r="AD18" s="117">
        <f t="shared" ref="AD18:AD42" si="28">IF(OR($M18&gt;0.1,$B18=""),NA(),I18)</f>
        <v>0.20092933255934736</v>
      </c>
      <c r="AE18" s="117" t="e">
        <f t="shared" ref="AE18:AE42" si="29">IF(AND($M18&gt;0.1,$M18&lt;0.15),I18,NA())</f>
        <v>#N/A</v>
      </c>
      <c r="AF18" s="117" t="e">
        <f t="shared" ref="AF18:AF42" si="30">IF($M18&lt;0.15,NA(),I18)</f>
        <v>#N/A</v>
      </c>
      <c r="AG18" s="118">
        <f t="shared" ref="AG18:AG42" si="31">IF($M18&gt;0.1,NA(),$M18)</f>
        <v>5.4498780039479201E-2</v>
      </c>
      <c r="AH18" s="118" t="e">
        <f t="shared" ref="AH18:AH42" si="32">IF(AND($M18&gt;0.1,$M18&lt;0.15),$M18,NA())</f>
        <v>#N/A</v>
      </c>
      <c r="AI18" s="118" t="e">
        <f t="shared" ref="AI18:AI42" si="33">IF($M18&lt;0.15,NA(),$M18)</f>
        <v>#N/A</v>
      </c>
      <c r="AJ18" s="164">
        <f>IF(D18="",AP18,0)</f>
        <v>0</v>
      </c>
      <c r="AL18" s="75">
        <f t="shared" si="6"/>
        <v>3.7171926523479261E-2</v>
      </c>
      <c r="AM18" s="75">
        <f>ABS(AL18-AL17)</f>
        <v>3.7171926523479261E-2</v>
      </c>
      <c r="AN18" s="75">
        <f>IF(ISBLANK(B18),0,ABS(B18-B17))</f>
        <v>0.18000000000000016</v>
      </c>
      <c r="AO18" s="75">
        <f>AM18*AN18</f>
        <v>6.6909467742262731E-3</v>
      </c>
      <c r="AP18" s="165">
        <f t="shared" ref="AP18:AP42" si="34">IF(ISNUMBER(L18),L18,0)</f>
        <v>5.3899293459044933E-3</v>
      </c>
      <c r="AQ18" s="75">
        <f>IF(AP18=0,0,$AA$4/IF(ISBLANK(B19),ABS(B18-B17)/2,ABS(B19-B17)/2))</f>
        <v>6.8965517241379309E-2</v>
      </c>
      <c r="AR18" s="75">
        <f>IF(AP18=0,0,IF(C18=0,0,$AA$5/C18*100))</f>
        <v>2.7027027027027029E-2</v>
      </c>
      <c r="AS18" s="75">
        <f>IF(AP18=0,0,IF(ISBLANK(D18),$AA$11/I17,$AA$11/I18))</f>
        <v>0</v>
      </c>
      <c r="AT18" s="120">
        <f t="shared" ref="AT18:AT42" si="35">IF(AP18=0,0,IF(ISBLANK(B19),SQRT($AA$6^2/4/(D17/1000)^2+$AA$7^2*D17/1000),IF(AP18=0,0,SQRT($AA$6^2/4/(D18/1000)^2+$AA$7^2*D18/1000))))</f>
        <v>8.3692559074534489E-2</v>
      </c>
      <c r="AU18" s="87">
        <f t="shared" ref="AU18:AU42" si="36">SUM(AV18:AZ18)</f>
        <v>3.7100168978511793E-5</v>
      </c>
      <c r="AV18" s="75">
        <f t="shared" si="7"/>
        <v>1.4126597031113134E-5</v>
      </c>
      <c r="AW18" s="75">
        <f t="shared" si="8"/>
        <v>2.1695522467432707E-6</v>
      </c>
      <c r="AX18" s="75">
        <f t="shared" si="9"/>
        <v>0</v>
      </c>
      <c r="AY18" s="75">
        <f t="shared" ref="AY18:AY42" si="37">AP18^2/$H$9^2*(AT18^2)</f>
        <v>2.0804019700655389E-5</v>
      </c>
      <c r="AZ18" s="76">
        <f t="shared" ref="AZ18:AZ42" si="38">IF(AP18=0,0,IF(ISBLANK(B19),AP18^2/$H$9^2*($AA$8^2),0))</f>
        <v>0</v>
      </c>
      <c r="BA18" s="35">
        <f t="shared" ref="BA18:BA42" si="39">IF(C18=0,0,IF(ISBLANK(B18),0,IF(ISBLANK(E18),(AN18^2+AN19^2)*TAN($AA$9/180*PI())/(4*SQRT(3)*C18/100*(AN18+AN19)),AN18*TAN($AA$9/180*PI())/(4*SQRT(3)*C18/100))))</f>
        <v>3.2079095796256743E-2</v>
      </c>
      <c r="BB18" s="35">
        <f t="shared" si="10"/>
        <v>0.16088457268119893</v>
      </c>
      <c r="BC18" s="35">
        <f t="shared" si="11"/>
        <v>0.17026279441628828</v>
      </c>
      <c r="BD18" s="35">
        <f t="shared" si="12"/>
        <v>0.20911542731880106</v>
      </c>
      <c r="BE18" s="35">
        <f t="shared" si="13"/>
        <v>0.19973720558371172</v>
      </c>
      <c r="BF18" s="35">
        <f t="shared" si="14"/>
        <v>3.2079095796256736E-2</v>
      </c>
      <c r="BG18" s="35">
        <f t="shared" si="15"/>
        <v>0.18737630825079288</v>
      </c>
      <c r="BH18" s="35">
        <f t="shared" si="16"/>
        <v>0.19276019451493948</v>
      </c>
      <c r="BI18" s="35">
        <f t="shared" si="17"/>
        <v>0.21362423193962213</v>
      </c>
      <c r="BJ18" s="35">
        <f t="shared" si="18"/>
        <v>0.20877907169075235</v>
      </c>
      <c r="BK18" s="35">
        <f t="shared" ref="BK18:BK42" si="40">IF(I18=0,0,IF(C18=0,0,IF(ISBLANK($B18),0,((BI18-BG18)*$AN18+(BJ18-BH18)*$AN19)/(($AN18+$AN19)*4*SQRT(3)*$I18))))</f>
        <v>1.6068007991888671E-2</v>
      </c>
      <c r="BM18" s="35">
        <f t="shared" ref="BM18:BM42" si="41">$AP18^2/$H$9^2*(BF18^2)</f>
        <v>3.0564535372456343E-6</v>
      </c>
      <c r="BN18" s="35">
        <f t="shared" ref="BN18:BN42" si="42">$AP18^2/$H$9^2*(BK18^2)</f>
        <v>7.6682742987931124E-7</v>
      </c>
      <c r="BO18" s="35">
        <f>IF(ISBLANK($B18),NA(),IF(AN19=0,ATAN(ABS(C18-C17)/100/AN18),(ATAN(ABS(C18-C17)/100/AN18)+ATAN(ABS(C19-C18)/100/AN19))/2))</f>
        <v>0.16378786561311542</v>
      </c>
      <c r="BP18" s="35">
        <f t="shared" si="19"/>
        <v>8.8280502337119231E-4</v>
      </c>
      <c r="BQ18" s="47">
        <f t="shared" si="20"/>
        <v>4.092344994563674E-5</v>
      </c>
      <c r="BS18" s="167">
        <v>1</v>
      </c>
      <c r="BT18" s="167">
        <f>BS18+1</f>
        <v>2</v>
      </c>
      <c r="BU18" s="166">
        <f t="shared" ref="BU18:BU81" si="43">IF(ISNUMBER(BV18),IF(OR(ISBLANK(INDEX(B$17:B$43,BS18)),ISBLANK(INDEX(B$17:B$43,BT18))),INDEX(B$17:B$43,BS18),(INDEX(B$17:B$43,BS18)+INDEX(B$17:B$43,BT18))/2),BU17)</f>
        <v>1.97</v>
      </c>
      <c r="BV18" s="167">
        <f t="shared" ref="BV18:BV81" si="44">INDEX(N$17:N$42,BS18)</f>
        <v>-0.15</v>
      </c>
    </row>
    <row r="19" spans="1:74" ht="36" customHeight="1" x14ac:dyDescent="0.45">
      <c r="A19" s="178">
        <v>3</v>
      </c>
      <c r="B19" s="179">
        <v>2.17</v>
      </c>
      <c r="C19" s="179">
        <v>20</v>
      </c>
      <c r="D19" s="179">
        <v>6</v>
      </c>
      <c r="E19" s="179"/>
      <c r="F19" s="179"/>
      <c r="H19" s="113">
        <f t="shared" si="2"/>
        <v>0.34310348293189913</v>
      </c>
      <c r="I19" s="113">
        <f>IF(ISBLANK(B20),IF(ISBLANK(B19),"",(2*E19-1)*I18),MAX(0,$H$5*H19+$I$5))</f>
        <v>0.20092933255934736</v>
      </c>
      <c r="J19" s="114">
        <f t="shared" si="21"/>
        <v>4.0185866511869471E-2</v>
      </c>
      <c r="K19" s="113">
        <f t="shared" ref="K19:K31" si="45">IF(ISBLANK(B19),"",IF(ISBLANK(B20),ABS(B18-B19)/2*C19/100,ABS(B20-B18)/2*C19/100))</f>
        <v>2.0999999999999998E-2</v>
      </c>
      <c r="L19" s="163">
        <f t="shared" si="22"/>
        <v>4.2195159837462946E-3</v>
      </c>
      <c r="M19" s="115">
        <f t="shared" si="23"/>
        <v>4.2664468996423607E-2</v>
      </c>
      <c r="N19" s="116">
        <f t="shared" si="24"/>
        <v>-0.2</v>
      </c>
      <c r="O19" s="38"/>
      <c r="P19" s="38">
        <f t="shared" si="25"/>
        <v>1.8944000000000001</v>
      </c>
      <c r="Q19" s="38">
        <f t="shared" si="3"/>
        <v>5.7912755699491364E-2</v>
      </c>
      <c r="R19" s="38"/>
      <c r="S19" s="38"/>
      <c r="T19" s="38">
        <f t="shared" si="26"/>
        <v>3.5855999999999999</v>
      </c>
      <c r="U19" s="38">
        <f t="shared" si="4"/>
        <v>0.1331915261767091</v>
      </c>
      <c r="V19" s="38"/>
      <c r="W19" s="38">
        <f t="shared" ref="W19:W42" si="46">IF(OR(B18="",B20=""),NA(),I19)</f>
        <v>0.20092933255934736</v>
      </c>
      <c r="X19" s="38"/>
      <c r="Y19" s="58"/>
      <c r="Z19" s="38"/>
      <c r="AA19" s="58"/>
      <c r="AB19" s="38"/>
      <c r="AC19" s="75">
        <f t="shared" si="27"/>
        <v>2.17</v>
      </c>
      <c r="AD19" s="117">
        <f t="shared" si="28"/>
        <v>0.20092933255934736</v>
      </c>
      <c r="AE19" s="117" t="e">
        <f t="shared" si="29"/>
        <v>#N/A</v>
      </c>
      <c r="AF19" s="117" t="e">
        <f t="shared" si="30"/>
        <v>#N/A</v>
      </c>
      <c r="AG19" s="118">
        <f t="shared" si="31"/>
        <v>4.2664468996423607E-2</v>
      </c>
      <c r="AH19" s="118" t="e">
        <f t="shared" si="32"/>
        <v>#N/A</v>
      </c>
      <c r="AI19" s="118" t="e">
        <f t="shared" si="33"/>
        <v>#N/A</v>
      </c>
      <c r="AJ19" s="164">
        <f t="shared" ref="AJ19:AJ42" si="47">IF(D19="",AP19,0)</f>
        <v>0</v>
      </c>
      <c r="AL19" s="75">
        <f t="shared" si="6"/>
        <v>4.0185866511869471E-2</v>
      </c>
      <c r="AM19" s="75">
        <f t="shared" ref="AM19:AM42" si="48">ABS(AL19-AL18)</f>
        <v>3.0139399883902102E-3</v>
      </c>
      <c r="AN19" s="75">
        <f t="shared" ref="AN19:AN42" si="49">IF(ISBLANK(B19),0,ABS(B19-B18))</f>
        <v>0.10999999999999988</v>
      </c>
      <c r="AO19" s="75">
        <f t="shared" ref="AO19:AO42" si="50">AM19*AN19</f>
        <v>3.3153339872292275E-4</v>
      </c>
      <c r="AP19" s="165">
        <f t="shared" si="34"/>
        <v>4.2195159837462946E-3</v>
      </c>
      <c r="AQ19" s="75">
        <f t="shared" ref="AQ19:AQ42" si="51">IF(AP19=0,0,$AA$4/IF(ISBLANK(B20),ABS(B19-B18)/2,ABS(B20-B18)/2))</f>
        <v>9.5238095238095261E-2</v>
      </c>
      <c r="AR19" s="75">
        <f t="shared" ref="AR19:AR42" si="52">IF(AP19=0,0,IF(C19=0,0,$AA$5/C19*100))</f>
        <v>2.5000000000000001E-2</v>
      </c>
      <c r="AS19" s="75">
        <f t="shared" ref="AS19:AS42" si="53">IF(AP19=0,0,IF(ISBLANK(D19),$AA$11/I18,$AA$11/I19))</f>
        <v>0</v>
      </c>
      <c r="AT19" s="120">
        <f t="shared" si="35"/>
        <v>8.3692559074534489E-2</v>
      </c>
      <c r="AU19" s="87">
        <f t="shared" si="36"/>
        <v>3.0397815806100903E-5</v>
      </c>
      <c r="AV19" s="75">
        <f t="shared" si="7"/>
        <v>1.6510266800424414E-5</v>
      </c>
      <c r="AW19" s="75">
        <f t="shared" si="8"/>
        <v>1.1376605717167444E-6</v>
      </c>
      <c r="AX19" s="75">
        <f t="shared" si="9"/>
        <v>0</v>
      </c>
      <c r="AY19" s="75">
        <f t="shared" si="37"/>
        <v>1.2749888433959745E-5</v>
      </c>
      <c r="AZ19" s="76">
        <f t="shared" si="38"/>
        <v>0</v>
      </c>
      <c r="BA19" s="35">
        <f t="shared" si="39"/>
        <v>2.0350487489175343E-2</v>
      </c>
      <c r="BB19" s="35">
        <f t="shared" si="10"/>
        <v>0.18526279441628829</v>
      </c>
      <c r="BC19" s="35">
        <f t="shared" si="11"/>
        <v>0.18660254037844387</v>
      </c>
      <c r="BD19" s="35">
        <f t="shared" si="12"/>
        <v>0.21473720558371173</v>
      </c>
      <c r="BE19" s="35">
        <f t="shared" si="13"/>
        <v>0.21339745962155615</v>
      </c>
      <c r="BF19" s="35">
        <f t="shared" si="14"/>
        <v>2.0350487489175333E-2</v>
      </c>
      <c r="BG19" s="35">
        <f t="shared" si="15"/>
        <v>0.19338485048326659</v>
      </c>
      <c r="BH19" s="35">
        <f t="shared" si="16"/>
        <v>0.19408283157809861</v>
      </c>
      <c r="BI19" s="35">
        <f t="shared" si="17"/>
        <v>0.20820060751365316</v>
      </c>
      <c r="BJ19" s="35">
        <f t="shared" si="18"/>
        <v>0.20755010925585426</v>
      </c>
      <c r="BK19" s="35">
        <f t="shared" si="40"/>
        <v>1.0181621481833016E-2</v>
      </c>
      <c r="BM19" s="35">
        <f t="shared" si="41"/>
        <v>7.5384545998037418E-7</v>
      </c>
      <c r="BN19" s="35">
        <f t="shared" si="42"/>
        <v>1.8869769029287128E-7</v>
      </c>
      <c r="BO19" s="35">
        <f t="shared" ref="BO19:BO42" si="54">IF(ISBLANK($B19),NA(),IF(AN20=0,ATAN(ABS(C19-C18)/100/AN19),(ATAN(ABS(C19-C18)/100/AN19)+ATAN(ABS(C20-C19)/100/AN20))/2))</f>
        <v>0.25801704554893273</v>
      </c>
      <c r="BP19" s="35">
        <f t="shared" si="19"/>
        <v>1.0887070477727174E-3</v>
      </c>
      <c r="BQ19" s="47">
        <f t="shared" si="20"/>
        <v>3.1340358956374154E-5</v>
      </c>
      <c r="BS19" s="167">
        <v>1</v>
      </c>
      <c r="BT19" s="167">
        <f>BT18</f>
        <v>2</v>
      </c>
      <c r="BU19" s="166">
        <f t="shared" si="43"/>
        <v>1.97</v>
      </c>
      <c r="BV19" s="167">
        <f>IF(ISBLANK(INDEX(B$17:B$42,BS19)),BV18,$BV$15)</f>
        <v>0</v>
      </c>
    </row>
    <row r="20" spans="1:74" ht="36" customHeight="1" x14ac:dyDescent="0.45">
      <c r="A20" s="180">
        <v>4</v>
      </c>
      <c r="B20" s="181">
        <v>2.27</v>
      </c>
      <c r="C20" s="181">
        <v>24</v>
      </c>
      <c r="D20" s="181">
        <v>13</v>
      </c>
      <c r="E20" s="181"/>
      <c r="F20" s="181"/>
      <c r="H20" s="113">
        <f t="shared" si="2"/>
        <v>0.50503465227645516</v>
      </c>
      <c r="I20" s="113">
        <f t="shared" ref="I20:I31" si="55">IF(ISBLANK(B21),IF(ISBLANK(B20),"",(2*E20-1)*I19),MAX(0,$H$5*H20+$I$5))</f>
        <v>0.30472721210920772</v>
      </c>
      <c r="J20" s="114">
        <f t="shared" si="21"/>
        <v>7.313453090620986E-2</v>
      </c>
      <c r="K20" s="113">
        <f t="shared" si="45"/>
        <v>2.5199999999999997E-2</v>
      </c>
      <c r="L20" s="163">
        <f t="shared" si="22"/>
        <v>7.679125745152034E-3</v>
      </c>
      <c r="M20" s="115">
        <f t="shared" si="23"/>
        <v>7.7645356371608021E-2</v>
      </c>
      <c r="N20" s="116">
        <f t="shared" si="24"/>
        <v>-0.24</v>
      </c>
      <c r="O20" s="38"/>
      <c r="P20" s="38">
        <f t="shared" si="25"/>
        <v>1.9016000000000002</v>
      </c>
      <c r="Q20" s="38">
        <f t="shared" si="3"/>
        <v>7.0714055718629404E-2</v>
      </c>
      <c r="R20" s="38"/>
      <c r="S20" s="38"/>
      <c r="T20" s="38">
        <f t="shared" si="26"/>
        <v>3.5783999999999998</v>
      </c>
      <c r="U20" s="38">
        <f t="shared" si="4"/>
        <v>0.14227959301461168</v>
      </c>
      <c r="V20" s="38"/>
      <c r="W20" s="38">
        <f t="shared" si="46"/>
        <v>0.30472721210920772</v>
      </c>
      <c r="X20" s="38"/>
      <c r="Y20" s="58">
        <f>T17</f>
        <v>3.6</v>
      </c>
      <c r="Z20" s="38">
        <v>0</v>
      </c>
      <c r="AA20" s="58">
        <f t="shared" si="5"/>
        <v>0</v>
      </c>
      <c r="AB20" s="38"/>
      <c r="AC20" s="75">
        <f t="shared" si="27"/>
        <v>2.27</v>
      </c>
      <c r="AD20" s="117">
        <f t="shared" si="28"/>
        <v>0.30472721210920772</v>
      </c>
      <c r="AE20" s="117" t="e">
        <f t="shared" si="29"/>
        <v>#N/A</v>
      </c>
      <c r="AF20" s="117" t="e">
        <f t="shared" si="30"/>
        <v>#N/A</v>
      </c>
      <c r="AG20" s="118">
        <f t="shared" si="31"/>
        <v>7.7645356371608021E-2</v>
      </c>
      <c r="AH20" s="118" t="e">
        <f t="shared" si="32"/>
        <v>#N/A</v>
      </c>
      <c r="AI20" s="118" t="e">
        <f t="shared" si="33"/>
        <v>#N/A</v>
      </c>
      <c r="AJ20" s="164">
        <f t="shared" si="47"/>
        <v>0</v>
      </c>
      <c r="AL20" s="75">
        <f t="shared" si="6"/>
        <v>7.313453090620986E-2</v>
      </c>
      <c r="AM20" s="75">
        <f t="shared" si="48"/>
        <v>3.2948664394340389E-2</v>
      </c>
      <c r="AN20" s="75">
        <f t="shared" si="49"/>
        <v>0.10000000000000009</v>
      </c>
      <c r="AO20" s="75">
        <f t="shared" si="50"/>
        <v>3.2948664394340417E-3</v>
      </c>
      <c r="AP20" s="165">
        <f t="shared" si="34"/>
        <v>7.679125745152034E-3</v>
      </c>
      <c r="AQ20" s="75">
        <f t="shared" si="51"/>
        <v>9.5238095238095261E-2</v>
      </c>
      <c r="AR20" s="75">
        <f t="shared" si="52"/>
        <v>2.0833333333333336E-2</v>
      </c>
      <c r="AS20" s="75">
        <f t="shared" si="53"/>
        <v>0</v>
      </c>
      <c r="AT20" s="120">
        <f t="shared" si="35"/>
        <v>4.0115956187387614E-2</v>
      </c>
      <c r="AU20" s="87">
        <f t="shared" si="36"/>
        <v>6.7001762241229097E-5</v>
      </c>
      <c r="AV20" s="75">
        <f t="shared" si="7"/>
        <v>5.468300558797292E-5</v>
      </c>
      <c r="AW20" s="75">
        <f t="shared" si="8"/>
        <v>2.6166672595807349E-6</v>
      </c>
      <c r="AX20" s="75">
        <f t="shared" si="9"/>
        <v>0</v>
      </c>
      <c r="AY20" s="75">
        <f t="shared" si="37"/>
        <v>9.7020893936754383E-6</v>
      </c>
      <c r="AZ20" s="76">
        <f t="shared" si="38"/>
        <v>0</v>
      </c>
      <c r="BA20" s="35">
        <f t="shared" si="39"/>
        <v>1.6958739574312785E-2</v>
      </c>
      <c r="BB20" s="35">
        <f t="shared" si="10"/>
        <v>0.22660254037844385</v>
      </c>
      <c r="BC20" s="35">
        <f t="shared" si="11"/>
        <v>0.22526279441628827</v>
      </c>
      <c r="BD20" s="35">
        <f t="shared" si="12"/>
        <v>0.25339745962155613</v>
      </c>
      <c r="BE20" s="35">
        <f t="shared" si="13"/>
        <v>0.25473720558371171</v>
      </c>
      <c r="BF20" s="35">
        <f t="shared" si="14"/>
        <v>1.6958739574312778E-2</v>
      </c>
      <c r="BG20" s="35">
        <f t="shared" si="15"/>
        <v>0.29609972545312102</v>
      </c>
      <c r="BH20" s="35">
        <f t="shared" si="16"/>
        <v>0.2952231101637709</v>
      </c>
      <c r="BI20" s="35">
        <f t="shared" si="17"/>
        <v>0.31311707105535863</v>
      </c>
      <c r="BJ20" s="35">
        <f t="shared" si="18"/>
        <v>0.31394372557025269</v>
      </c>
      <c r="BK20" s="35">
        <f t="shared" si="40"/>
        <v>8.4830581098950444E-3</v>
      </c>
      <c r="BM20" s="35">
        <f t="shared" si="41"/>
        <v>1.7338763273984276E-6</v>
      </c>
      <c r="BN20" s="35">
        <f t="shared" si="42"/>
        <v>4.3384626119793066E-7</v>
      </c>
      <c r="BO20" s="35">
        <f t="shared" si="54"/>
        <v>0.43992654939624753</v>
      </c>
      <c r="BP20" s="35">
        <f t="shared" si="19"/>
        <v>3.3782512914446224E-3</v>
      </c>
      <c r="BQ20" s="47">
        <f t="shared" si="20"/>
        <v>6.9169484829825458E-5</v>
      </c>
      <c r="BS20" s="167">
        <v>2</v>
      </c>
      <c r="BT20" s="167">
        <f>BT18-1</f>
        <v>1</v>
      </c>
      <c r="BU20" s="166">
        <f t="shared" si="43"/>
        <v>1.97</v>
      </c>
      <c r="BV20" s="167">
        <f>INDEX(N$17:N$42,BS20)</f>
        <v>-0.185</v>
      </c>
    </row>
    <row r="21" spans="1:74" ht="36" customHeight="1" x14ac:dyDescent="0.45">
      <c r="A21" s="178">
        <v>5</v>
      </c>
      <c r="B21" s="179">
        <v>2.38</v>
      </c>
      <c r="C21" s="179">
        <v>30</v>
      </c>
      <c r="D21" s="179">
        <v>8</v>
      </c>
      <c r="E21" s="179"/>
      <c r="F21" s="179"/>
      <c r="H21" s="113">
        <f t="shared" si="2"/>
        <v>0.39618177646126029</v>
      </c>
      <c r="I21" s="113">
        <f t="shared" si="55"/>
        <v>0.23495251871166786</v>
      </c>
      <c r="J21" s="114">
        <f t="shared" si="21"/>
        <v>7.0485755613500359E-2</v>
      </c>
      <c r="K21" s="113">
        <f t="shared" si="45"/>
        <v>3.3000000000000029E-2</v>
      </c>
      <c r="L21" s="163">
        <f t="shared" si="22"/>
        <v>7.7534331174850465E-3</v>
      </c>
      <c r="M21" s="115">
        <f t="shared" si="23"/>
        <v>7.8396694817846779E-2</v>
      </c>
      <c r="N21" s="116">
        <f t="shared" si="24"/>
        <v>-0.3</v>
      </c>
      <c r="O21" s="38"/>
      <c r="P21" s="38">
        <f t="shared" si="25"/>
        <v>1.9088000000000003</v>
      </c>
      <c r="Q21" s="38">
        <f t="shared" si="3"/>
        <v>8.147844576539677E-2</v>
      </c>
      <c r="R21" s="38"/>
      <c r="S21" s="38"/>
      <c r="T21" s="38">
        <f t="shared" si="26"/>
        <v>3.5711999999999997</v>
      </c>
      <c r="U21" s="38">
        <f t="shared" si="4"/>
        <v>0.14910131657884682</v>
      </c>
      <c r="V21" s="38"/>
      <c r="W21" s="38">
        <f t="shared" si="46"/>
        <v>0.23495251871166786</v>
      </c>
      <c r="X21" s="38"/>
      <c r="Y21" s="58">
        <f>T17</f>
        <v>3.6</v>
      </c>
      <c r="Z21" s="38">
        <f>LOOKUP(2,1/(B17:B42&lt;&gt;""),C17:C42)</f>
        <v>12</v>
      </c>
      <c r="AA21" s="58">
        <f>-Z21/100</f>
        <v>-0.12</v>
      </c>
      <c r="AB21" s="38"/>
      <c r="AC21" s="75">
        <f t="shared" si="27"/>
        <v>2.38</v>
      </c>
      <c r="AD21" s="117">
        <f t="shared" si="28"/>
        <v>0.23495251871166786</v>
      </c>
      <c r="AE21" s="117" t="e">
        <f t="shared" si="29"/>
        <v>#N/A</v>
      </c>
      <c r="AF21" s="117" t="e">
        <f t="shared" si="30"/>
        <v>#N/A</v>
      </c>
      <c r="AG21" s="118">
        <f t="shared" si="31"/>
        <v>7.8396694817846779E-2</v>
      </c>
      <c r="AH21" s="118" t="e">
        <f t="shared" si="32"/>
        <v>#N/A</v>
      </c>
      <c r="AI21" s="118" t="e">
        <f t="shared" si="33"/>
        <v>#N/A</v>
      </c>
      <c r="AJ21" s="164">
        <f t="shared" si="47"/>
        <v>0</v>
      </c>
      <c r="AL21" s="75">
        <f t="shared" si="6"/>
        <v>7.0485755613500359E-2</v>
      </c>
      <c r="AM21" s="75">
        <f t="shared" si="48"/>
        <v>2.6487752927095015E-3</v>
      </c>
      <c r="AN21" s="75">
        <f t="shared" si="49"/>
        <v>0.10999999999999988</v>
      </c>
      <c r="AO21" s="75">
        <f t="shared" si="50"/>
        <v>2.9136528219804485E-4</v>
      </c>
      <c r="AP21" s="165">
        <f t="shared" si="34"/>
        <v>7.7534331174850465E-3</v>
      </c>
      <c r="AQ21" s="75">
        <f t="shared" si="51"/>
        <v>9.0909090909090828E-2</v>
      </c>
      <c r="AR21" s="75">
        <f t="shared" si="52"/>
        <v>1.6666666666666666E-2</v>
      </c>
      <c r="AS21" s="75">
        <f t="shared" si="53"/>
        <v>0</v>
      </c>
      <c r="AT21" s="120">
        <f t="shared" si="35"/>
        <v>6.3136756330999452E-2</v>
      </c>
      <c r="AU21" s="87">
        <f t="shared" si="36"/>
        <v>7.7000626321227034E-5</v>
      </c>
      <c r="AV21" s="75">
        <f t="shared" si="7"/>
        <v>5.0793733540186715E-5</v>
      </c>
      <c r="AW21" s="75">
        <f t="shared" si="8"/>
        <v>1.7072338217673899E-6</v>
      </c>
      <c r="AX21" s="75">
        <f t="shared" si="9"/>
        <v>0</v>
      </c>
      <c r="AY21" s="75">
        <f t="shared" si="37"/>
        <v>2.4499658959272928E-5</v>
      </c>
      <c r="AZ21" s="76">
        <f t="shared" si="38"/>
        <v>0</v>
      </c>
      <c r="BA21" s="35">
        <f t="shared" si="39"/>
        <v>1.4180882684764735E-2</v>
      </c>
      <c r="BB21" s="35">
        <f t="shared" si="10"/>
        <v>0.28526279441628827</v>
      </c>
      <c r="BC21" s="35">
        <f t="shared" si="11"/>
        <v>0.28526279441628821</v>
      </c>
      <c r="BD21" s="35">
        <f t="shared" si="12"/>
        <v>0.31473720558371171</v>
      </c>
      <c r="BE21" s="35">
        <f t="shared" si="13"/>
        <v>0.31473720558371177</v>
      </c>
      <c r="BF21" s="35">
        <f t="shared" si="14"/>
        <v>1.4180882684764723E-2</v>
      </c>
      <c r="BG21" s="35">
        <f t="shared" si="15"/>
        <v>0.22910894411182367</v>
      </c>
      <c r="BH21" s="35">
        <f t="shared" si="16"/>
        <v>0.22910894411182364</v>
      </c>
      <c r="BI21" s="35">
        <f t="shared" si="17"/>
        <v>0.24065424123808521</v>
      </c>
      <c r="BJ21" s="35">
        <f t="shared" si="18"/>
        <v>0.24065424123808526</v>
      </c>
      <c r="BK21" s="35">
        <f t="shared" si="40"/>
        <v>7.0925824080028434E-3</v>
      </c>
      <c r="BM21" s="35">
        <f t="shared" si="41"/>
        <v>1.2359532251368983E-6</v>
      </c>
      <c r="BN21" s="35">
        <f t="shared" si="42"/>
        <v>3.0917494181011415E-7</v>
      </c>
      <c r="BO21" s="35">
        <f t="shared" si="54"/>
        <v>0.4438327199262978</v>
      </c>
      <c r="BP21" s="35">
        <f t="shared" si="19"/>
        <v>3.4412273093000229E-3</v>
      </c>
      <c r="BQ21" s="47">
        <f t="shared" si="20"/>
        <v>7.8545754488174046E-5</v>
      </c>
      <c r="BS21" s="159">
        <f>BS18+1</f>
        <v>2</v>
      </c>
      <c r="BT21" s="159">
        <f>BT18+1</f>
        <v>3</v>
      </c>
      <c r="BU21" s="166">
        <f t="shared" si="43"/>
        <v>2.1150000000000002</v>
      </c>
      <c r="BV21" s="167">
        <f t="shared" si="44"/>
        <v>-0.185</v>
      </c>
    </row>
    <row r="22" spans="1:74" ht="36" customHeight="1" x14ac:dyDescent="0.45">
      <c r="A22" s="180">
        <v>6</v>
      </c>
      <c r="B22" s="181">
        <v>2.4900000000000002</v>
      </c>
      <c r="C22" s="181">
        <v>34.5</v>
      </c>
      <c r="D22" s="181">
        <v>9</v>
      </c>
      <c r="E22" s="181"/>
      <c r="F22" s="181"/>
      <c r="H22" s="113">
        <f t="shared" si="2"/>
        <v>0.42021423107743511</v>
      </c>
      <c r="I22" s="113">
        <f t="shared" si="55"/>
        <v>0.25035732212063588</v>
      </c>
      <c r="J22" s="114">
        <f t="shared" si="21"/>
        <v>8.6373276131619381E-2</v>
      </c>
      <c r="K22" s="113">
        <f t="shared" si="45"/>
        <v>3.7950000000000032E-2</v>
      </c>
      <c r="L22" s="163">
        <f t="shared" si="22"/>
        <v>9.5010603744781399E-3</v>
      </c>
      <c r="M22" s="115">
        <f t="shared" si="23"/>
        <v>9.6067344534662688E-2</v>
      </c>
      <c r="N22" s="116">
        <f t="shared" si="24"/>
        <v>-0.34499999999999997</v>
      </c>
      <c r="O22" s="38"/>
      <c r="P22" s="38">
        <f t="shared" si="25"/>
        <v>1.9160000000000004</v>
      </c>
      <c r="Q22" s="38">
        <f t="shared" si="3"/>
        <v>9.0944100850765847E-2</v>
      </c>
      <c r="R22" s="38"/>
      <c r="S22" s="38"/>
      <c r="T22" s="38">
        <f t="shared" si="26"/>
        <v>3.5639999999999996</v>
      </c>
      <c r="U22" s="38">
        <f t="shared" si="4"/>
        <v>0.1546171012752266</v>
      </c>
      <c r="V22" s="38"/>
      <c r="W22" s="38">
        <f t="shared" si="46"/>
        <v>0.25035732212063588</v>
      </c>
      <c r="X22" s="38"/>
      <c r="Y22" s="58"/>
      <c r="Z22" s="38"/>
      <c r="AA22" s="58"/>
      <c r="AB22" s="38"/>
      <c r="AC22" s="75">
        <f t="shared" si="27"/>
        <v>2.4900000000000002</v>
      </c>
      <c r="AD22" s="117">
        <f t="shared" si="28"/>
        <v>0.25035732212063588</v>
      </c>
      <c r="AE22" s="117" t="e">
        <f t="shared" si="29"/>
        <v>#N/A</v>
      </c>
      <c r="AF22" s="117" t="e">
        <f t="shared" si="30"/>
        <v>#N/A</v>
      </c>
      <c r="AG22" s="118">
        <f t="shared" si="31"/>
        <v>9.6067344534662688E-2</v>
      </c>
      <c r="AH22" s="118" t="e">
        <f t="shared" si="32"/>
        <v>#N/A</v>
      </c>
      <c r="AI22" s="118" t="e">
        <f t="shared" si="33"/>
        <v>#N/A</v>
      </c>
      <c r="AJ22" s="164">
        <f t="shared" si="47"/>
        <v>0</v>
      </c>
      <c r="AL22" s="75">
        <f t="shared" si="6"/>
        <v>8.6373276131619381E-2</v>
      </c>
      <c r="AM22" s="75">
        <f t="shared" si="48"/>
        <v>1.5887520518119022E-2</v>
      </c>
      <c r="AN22" s="75">
        <f t="shared" si="49"/>
        <v>0.11000000000000032</v>
      </c>
      <c r="AO22" s="75">
        <f t="shared" si="50"/>
        <v>1.7476272569930975E-3</v>
      </c>
      <c r="AP22" s="165">
        <f t="shared" si="34"/>
        <v>9.5010603744781399E-3</v>
      </c>
      <c r="AQ22" s="75">
        <f t="shared" si="51"/>
        <v>9.0909090909090828E-2</v>
      </c>
      <c r="AR22" s="75">
        <f t="shared" si="52"/>
        <v>1.4492753623188406E-2</v>
      </c>
      <c r="AS22" s="75">
        <f t="shared" si="53"/>
        <v>0</v>
      </c>
      <c r="AT22" s="120">
        <f t="shared" si="35"/>
        <v>5.6359735211287322E-2</v>
      </c>
      <c r="AU22" s="87">
        <f t="shared" si="36"/>
        <v>1.075256025120092E-4</v>
      </c>
      <c r="AV22" s="75">
        <f t="shared" si="7"/>
        <v>7.6272187487120383E-5</v>
      </c>
      <c r="AW22" s="75">
        <f t="shared" si="8"/>
        <v>1.9384445885195517E-6</v>
      </c>
      <c r="AX22" s="75">
        <f t="shared" si="9"/>
        <v>0</v>
      </c>
      <c r="AY22" s="75">
        <f t="shared" si="37"/>
        <v>2.9314970436369261E-5</v>
      </c>
      <c r="AZ22" s="76">
        <f t="shared" si="38"/>
        <v>0</v>
      </c>
      <c r="BA22" s="35">
        <f t="shared" si="39"/>
        <v>1.2331202334578031E-2</v>
      </c>
      <c r="BB22" s="35">
        <f t="shared" si="10"/>
        <v>0.3302627944162882</v>
      </c>
      <c r="BC22" s="35">
        <f t="shared" si="11"/>
        <v>0.33026279441628825</v>
      </c>
      <c r="BD22" s="35">
        <f t="shared" si="12"/>
        <v>0.35973720558371175</v>
      </c>
      <c r="BE22" s="35">
        <f t="shared" si="13"/>
        <v>0.35973720558371169</v>
      </c>
      <c r="BF22" s="35">
        <f t="shared" si="14"/>
        <v>1.2331202334578021E-2</v>
      </c>
      <c r="BG22" s="35">
        <f t="shared" si="15"/>
        <v>0.24495176644231531</v>
      </c>
      <c r="BH22" s="35">
        <f t="shared" si="16"/>
        <v>0.24495176644231534</v>
      </c>
      <c r="BI22" s="35">
        <f t="shared" si="17"/>
        <v>0.2556486056985664</v>
      </c>
      <c r="BJ22" s="35">
        <f t="shared" si="18"/>
        <v>0.2556486056985664</v>
      </c>
      <c r="BK22" s="35">
        <f t="shared" si="40"/>
        <v>6.1670085897256727E-3</v>
      </c>
      <c r="BM22" s="35">
        <f t="shared" si="41"/>
        <v>1.4033384357683715E-6</v>
      </c>
      <c r="BN22" s="35">
        <f t="shared" si="42"/>
        <v>3.5099479733038931E-7</v>
      </c>
      <c r="BO22" s="35">
        <f t="shared" si="54"/>
        <v>0.1941593590862325</v>
      </c>
      <c r="BP22" s="35">
        <f t="shared" si="19"/>
        <v>1.8447197929482757E-3</v>
      </c>
      <c r="BQ22" s="47">
        <f t="shared" si="20"/>
        <v>1.0927993574510795E-4</v>
      </c>
      <c r="BS22" s="159">
        <f t="shared" ref="BS22:BT22" si="56">BS19+1</f>
        <v>2</v>
      </c>
      <c r="BT22" s="159">
        <f t="shared" si="56"/>
        <v>3</v>
      </c>
      <c r="BU22" s="166">
        <f t="shared" si="43"/>
        <v>2.1150000000000002</v>
      </c>
      <c r="BV22" s="167">
        <f t="shared" ref="BV22" si="57">IF(ISBLANK(INDEX(B$17:B$42,BS22)),BV21,$BV$15)</f>
        <v>0</v>
      </c>
    </row>
    <row r="23" spans="1:74" ht="36" customHeight="1" x14ac:dyDescent="0.45">
      <c r="A23" s="178">
        <v>7</v>
      </c>
      <c r="B23" s="179">
        <v>2.6</v>
      </c>
      <c r="C23" s="179">
        <v>34.5</v>
      </c>
      <c r="D23" s="179">
        <v>3</v>
      </c>
      <c r="E23" s="179"/>
      <c r="F23" s="179"/>
      <c r="H23" s="113">
        <f t="shared" si="2"/>
        <v>0.24261079942986874</v>
      </c>
      <c r="I23" s="113">
        <f t="shared" si="55"/>
        <v>0.13651352243454587</v>
      </c>
      <c r="J23" s="114">
        <f t="shared" si="21"/>
        <v>4.7097165239918325E-2</v>
      </c>
      <c r="K23" s="113">
        <f t="shared" si="45"/>
        <v>3.7949999999999956E-2</v>
      </c>
      <c r="L23" s="163">
        <f t="shared" si="22"/>
        <v>5.1806881763910096E-3</v>
      </c>
      <c r="M23" s="115">
        <f t="shared" si="23"/>
        <v>5.2383095817907073E-2</v>
      </c>
      <c r="N23" s="116">
        <f t="shared" si="24"/>
        <v>-0.34499999999999997</v>
      </c>
      <c r="O23" s="38"/>
      <c r="P23" s="38">
        <f t="shared" si="25"/>
        <v>1.9232000000000005</v>
      </c>
      <c r="Q23" s="38">
        <f t="shared" si="3"/>
        <v>9.9488813545997326E-2</v>
      </c>
      <c r="R23" s="38"/>
      <c r="S23" s="38"/>
      <c r="T23" s="38">
        <f t="shared" si="26"/>
        <v>3.5567999999999995</v>
      </c>
      <c r="U23" s="38">
        <f t="shared" si="4"/>
        <v>0.15927495727194954</v>
      </c>
      <c r="V23" s="38"/>
      <c r="W23" s="38">
        <f t="shared" si="46"/>
        <v>0.13651352243454587</v>
      </c>
      <c r="X23" s="38"/>
      <c r="AA23" s="58"/>
      <c r="AB23" s="38"/>
      <c r="AC23" s="75">
        <f t="shared" si="27"/>
        <v>2.6</v>
      </c>
      <c r="AD23" s="117">
        <f t="shared" si="28"/>
        <v>0.13651352243454587</v>
      </c>
      <c r="AE23" s="117" t="e">
        <f t="shared" si="29"/>
        <v>#N/A</v>
      </c>
      <c r="AF23" s="117" t="e">
        <f t="shared" si="30"/>
        <v>#N/A</v>
      </c>
      <c r="AG23" s="118">
        <f t="shared" si="31"/>
        <v>5.2383095817907073E-2</v>
      </c>
      <c r="AH23" s="118" t="e">
        <f t="shared" si="32"/>
        <v>#N/A</v>
      </c>
      <c r="AI23" s="118" t="e">
        <f t="shared" si="33"/>
        <v>#N/A</v>
      </c>
      <c r="AJ23" s="164">
        <f t="shared" si="47"/>
        <v>0</v>
      </c>
      <c r="AL23" s="75">
        <f t="shared" si="6"/>
        <v>4.7097165239918325E-2</v>
      </c>
      <c r="AM23" s="75">
        <f t="shared" si="48"/>
        <v>3.9276110891701056E-2</v>
      </c>
      <c r="AN23" s="75">
        <f t="shared" si="49"/>
        <v>0.10999999999999988</v>
      </c>
      <c r="AO23" s="75">
        <f t="shared" si="50"/>
        <v>4.3203721980871112E-3</v>
      </c>
      <c r="AP23" s="165">
        <f t="shared" si="34"/>
        <v>5.1806881763910096E-3</v>
      </c>
      <c r="AQ23" s="75">
        <f t="shared" si="51"/>
        <v>9.0909090909091009E-2</v>
      </c>
      <c r="AR23" s="75">
        <f t="shared" si="52"/>
        <v>1.4492753623188406E-2</v>
      </c>
      <c r="AS23" s="75">
        <f t="shared" si="53"/>
        <v>0</v>
      </c>
      <c r="AT23" s="120">
        <f t="shared" si="35"/>
        <v>0.1667566423797798</v>
      </c>
      <c r="AU23" s="87">
        <f t="shared" si="36"/>
        <v>9.9558168685874986E-5</v>
      </c>
      <c r="AV23" s="75">
        <f t="shared" si="7"/>
        <v>2.267759278899206E-5</v>
      </c>
      <c r="AW23" s="75">
        <f t="shared" si="8"/>
        <v>5.7634713872464472E-7</v>
      </c>
      <c r="AX23" s="75">
        <f t="shared" si="9"/>
        <v>0</v>
      </c>
      <c r="AY23" s="75">
        <f t="shared" si="37"/>
        <v>7.6304228758158283E-5</v>
      </c>
      <c r="AZ23" s="76">
        <f t="shared" si="38"/>
        <v>0</v>
      </c>
      <c r="BA23" s="35">
        <f t="shared" si="39"/>
        <v>1.2331202334578005E-2</v>
      </c>
      <c r="BB23" s="35">
        <f t="shared" si="10"/>
        <v>0.33026279441628825</v>
      </c>
      <c r="BC23" s="35">
        <f t="shared" si="11"/>
        <v>0.33026279441628825</v>
      </c>
      <c r="BD23" s="35">
        <f t="shared" si="12"/>
        <v>0.35973720558371169</v>
      </c>
      <c r="BE23" s="35">
        <f t="shared" si="13"/>
        <v>0.35973720558371169</v>
      </c>
      <c r="BF23" s="35">
        <f t="shared" si="14"/>
        <v>1.2331202334577998E-2</v>
      </c>
      <c r="BG23" s="35">
        <f t="shared" si="15"/>
        <v>0.13356600949538755</v>
      </c>
      <c r="BH23" s="35">
        <f t="shared" si="16"/>
        <v>0.13356600949538755</v>
      </c>
      <c r="BI23" s="35">
        <f t="shared" si="17"/>
        <v>0.1393987256844644</v>
      </c>
      <c r="BJ23" s="35">
        <f t="shared" si="18"/>
        <v>0.1393987256844644</v>
      </c>
      <c r="BK23" s="35">
        <f t="shared" si="40"/>
        <v>6.1670085897256692E-3</v>
      </c>
      <c r="BM23" s="35">
        <f t="shared" si="41"/>
        <v>4.172469499038552E-7</v>
      </c>
      <c r="BN23" s="35">
        <f t="shared" si="42"/>
        <v>1.0435936541425973E-7</v>
      </c>
      <c r="BO23" s="35">
        <f t="shared" si="54"/>
        <v>4.5329943600372603E-2</v>
      </c>
      <c r="BP23" s="35">
        <f t="shared" si="19"/>
        <v>2.3484030284692166E-4</v>
      </c>
      <c r="BQ23" s="47">
        <f t="shared" si="20"/>
        <v>1.0007977500119309E-4</v>
      </c>
      <c r="BS23" s="159">
        <f>BS20+1</f>
        <v>3</v>
      </c>
      <c r="BT23" s="159">
        <f>BT20+1</f>
        <v>2</v>
      </c>
      <c r="BU23" s="166">
        <f t="shared" si="43"/>
        <v>2.1150000000000002</v>
      </c>
      <c r="BV23" s="167">
        <f t="shared" ref="BV23" si="58">INDEX(N$17:N$42,BS23)</f>
        <v>-0.2</v>
      </c>
    </row>
    <row r="24" spans="1:74" ht="36" customHeight="1" x14ac:dyDescent="0.45">
      <c r="A24" s="180">
        <v>8</v>
      </c>
      <c r="B24" s="181">
        <v>2.71</v>
      </c>
      <c r="C24" s="182">
        <v>33.5</v>
      </c>
      <c r="D24" s="182">
        <v>6</v>
      </c>
      <c r="E24" s="182"/>
      <c r="F24" s="182"/>
      <c r="H24" s="113">
        <f t="shared" si="2"/>
        <v>0.34310348293189913</v>
      </c>
      <c r="I24" s="113">
        <f t="shared" si="55"/>
        <v>0.20092933255934736</v>
      </c>
      <c r="J24" s="114">
        <f t="shared" si="21"/>
        <v>6.7311326407381369E-2</v>
      </c>
      <c r="K24" s="113">
        <f t="shared" si="45"/>
        <v>3.6849999999999959E-2</v>
      </c>
      <c r="L24" s="163">
        <f t="shared" si="22"/>
        <v>7.4042459048119418E-3</v>
      </c>
      <c r="M24" s="115">
        <f t="shared" si="23"/>
        <v>7.4865984881819433E-2</v>
      </c>
      <c r="N24" s="116">
        <f t="shared" si="24"/>
        <v>-0.33500000000000002</v>
      </c>
      <c r="O24" s="38"/>
      <c r="P24" s="38">
        <f t="shared" si="25"/>
        <v>1.9304000000000006</v>
      </c>
      <c r="Q24" s="38">
        <f t="shared" si="3"/>
        <v>0.10733665170201175</v>
      </c>
      <c r="R24" s="38"/>
      <c r="S24" s="38"/>
      <c r="T24" s="38">
        <f t="shared" si="26"/>
        <v>3.5495999999999994</v>
      </c>
      <c r="U24" s="38">
        <f t="shared" si="4"/>
        <v>0.16332242205377362</v>
      </c>
      <c r="V24" s="38"/>
      <c r="W24" s="38">
        <f t="shared" si="46"/>
        <v>0.20092933255934736</v>
      </c>
      <c r="X24" s="38"/>
      <c r="AA24" s="58"/>
      <c r="AB24" s="38"/>
      <c r="AC24" s="75">
        <f t="shared" si="27"/>
        <v>2.71</v>
      </c>
      <c r="AD24" s="117">
        <f t="shared" si="28"/>
        <v>0.20092933255934736</v>
      </c>
      <c r="AE24" s="117" t="e">
        <f t="shared" si="29"/>
        <v>#N/A</v>
      </c>
      <c r="AF24" s="117" t="e">
        <f t="shared" si="30"/>
        <v>#N/A</v>
      </c>
      <c r="AG24" s="118">
        <f t="shared" si="31"/>
        <v>7.4865984881819433E-2</v>
      </c>
      <c r="AH24" s="118" t="e">
        <f t="shared" si="32"/>
        <v>#N/A</v>
      </c>
      <c r="AI24" s="118" t="e">
        <f t="shared" si="33"/>
        <v>#N/A</v>
      </c>
      <c r="AJ24" s="164">
        <f t="shared" si="47"/>
        <v>0</v>
      </c>
      <c r="AL24" s="75">
        <f t="shared" si="6"/>
        <v>6.7311326407381369E-2</v>
      </c>
      <c r="AM24" s="75">
        <f t="shared" si="48"/>
        <v>2.0214161167463045E-2</v>
      </c>
      <c r="AN24" s="75">
        <f t="shared" si="49"/>
        <v>0.10999999999999988</v>
      </c>
      <c r="AO24" s="75">
        <f t="shared" si="50"/>
        <v>2.2235577284209322E-3</v>
      </c>
      <c r="AP24" s="165">
        <f t="shared" si="34"/>
        <v>7.4042459048119418E-3</v>
      </c>
      <c r="AQ24" s="75">
        <f t="shared" si="51"/>
        <v>9.0909090909091009E-2</v>
      </c>
      <c r="AR24" s="75">
        <f t="shared" si="52"/>
        <v>1.4925373134328358E-2</v>
      </c>
      <c r="AS24" s="75">
        <f t="shared" si="53"/>
        <v>0</v>
      </c>
      <c r="AT24" s="120">
        <f t="shared" si="35"/>
        <v>8.3692559074534489E-2</v>
      </c>
      <c r="AU24" s="87">
        <f t="shared" si="36"/>
        <v>8.6829526801406878E-5</v>
      </c>
      <c r="AV24" s="75">
        <f t="shared" si="7"/>
        <v>4.6321617291940727E-5</v>
      </c>
      <c r="AW24" s="75">
        <f t="shared" si="8"/>
        <v>1.2485889267820929E-6</v>
      </c>
      <c r="AX24" s="75">
        <f t="shared" si="9"/>
        <v>0</v>
      </c>
      <c r="AY24" s="75">
        <f t="shared" si="37"/>
        <v>3.9259320582684048E-5</v>
      </c>
      <c r="AZ24" s="76">
        <f t="shared" si="38"/>
        <v>0</v>
      </c>
      <c r="BA24" s="35">
        <f t="shared" si="39"/>
        <v>1.2699297926654961E-2</v>
      </c>
      <c r="BB24" s="35">
        <f t="shared" si="10"/>
        <v>0.3202627944162883</v>
      </c>
      <c r="BC24" s="35">
        <f t="shared" si="11"/>
        <v>0.3202627944162883</v>
      </c>
      <c r="BD24" s="35">
        <f t="shared" si="12"/>
        <v>0.34973720558371174</v>
      </c>
      <c r="BE24" s="35">
        <f t="shared" si="13"/>
        <v>0.34973720558371174</v>
      </c>
      <c r="BF24" s="35">
        <f t="shared" si="14"/>
        <v>1.2699297926654952E-2</v>
      </c>
      <c r="BG24" s="35">
        <f t="shared" si="15"/>
        <v>0.19646001933823828</v>
      </c>
      <c r="BH24" s="35">
        <f t="shared" si="16"/>
        <v>0.19646001933823828</v>
      </c>
      <c r="BI24" s="35">
        <f t="shared" si="17"/>
        <v>0.20530137400199894</v>
      </c>
      <c r="BJ24" s="35">
        <f t="shared" si="18"/>
        <v>0.20530137400199894</v>
      </c>
      <c r="BK24" s="35">
        <f t="shared" si="40"/>
        <v>6.3511862978187393E-3</v>
      </c>
      <c r="BM24" s="35">
        <f t="shared" si="41"/>
        <v>9.039169042052876E-7</v>
      </c>
      <c r="BN24" s="35">
        <f t="shared" si="42"/>
        <v>2.2608866445218161E-7</v>
      </c>
      <c r="BO24" s="35">
        <f t="shared" si="54"/>
        <v>0.11309380059312305</v>
      </c>
      <c r="BP24" s="35">
        <f t="shared" si="19"/>
        <v>8.3737430990124962E-4</v>
      </c>
      <c r="BQ24" s="47">
        <f t="shared" si="20"/>
        <v>8.7959532370064349E-5</v>
      </c>
      <c r="BS24" s="159">
        <f>BS21+1</f>
        <v>3</v>
      </c>
      <c r="BT24" s="159">
        <f>BT21+1</f>
        <v>4</v>
      </c>
      <c r="BU24" s="166">
        <f t="shared" si="43"/>
        <v>2.2199999999999998</v>
      </c>
      <c r="BV24" s="167">
        <f t="shared" si="44"/>
        <v>-0.2</v>
      </c>
    </row>
    <row r="25" spans="1:74" ht="36" customHeight="1" x14ac:dyDescent="0.45">
      <c r="A25" s="178">
        <v>9</v>
      </c>
      <c r="B25" s="179">
        <v>2.82</v>
      </c>
      <c r="C25" s="179">
        <v>35</v>
      </c>
      <c r="D25" s="179">
        <v>3</v>
      </c>
      <c r="E25" s="179"/>
      <c r="F25" s="179"/>
      <c r="H25" s="113">
        <f t="shared" si="2"/>
        <v>0.24261079942986874</v>
      </c>
      <c r="I25" s="113">
        <f t="shared" si="55"/>
        <v>0.13651352243454587</v>
      </c>
      <c r="J25" s="114">
        <f t="shared" si="21"/>
        <v>4.7779732852091056E-2</v>
      </c>
      <c r="K25" s="113">
        <f t="shared" si="45"/>
        <v>3.8500000000000034E-2</v>
      </c>
      <c r="L25" s="163">
        <f t="shared" si="22"/>
        <v>5.2557706137300207E-3</v>
      </c>
      <c r="M25" s="115">
        <f t="shared" si="23"/>
        <v>5.3142271119615982E-2</v>
      </c>
      <c r="N25" s="116">
        <f t="shared" si="24"/>
        <v>-0.35</v>
      </c>
      <c r="O25" s="38"/>
      <c r="P25" s="38">
        <f t="shared" si="25"/>
        <v>1.9376000000000007</v>
      </c>
      <c r="Q25" s="38">
        <f t="shared" si="3"/>
        <v>0.11463341787417325</v>
      </c>
      <c r="R25" s="38"/>
      <c r="S25" s="38"/>
      <c r="T25" s="38">
        <f t="shared" si="26"/>
        <v>3.5423999999999993</v>
      </c>
      <c r="U25" s="38">
        <f t="shared" si="4"/>
        <v>0.16691153892215865</v>
      </c>
      <c r="V25" s="38"/>
      <c r="W25" s="38">
        <f t="shared" si="46"/>
        <v>0.13651352243454587</v>
      </c>
      <c r="X25" s="38"/>
      <c r="AA25" s="58"/>
      <c r="AB25" s="38"/>
      <c r="AC25" s="75">
        <f t="shared" si="27"/>
        <v>2.82</v>
      </c>
      <c r="AD25" s="117">
        <f t="shared" si="28"/>
        <v>0.13651352243454587</v>
      </c>
      <c r="AE25" s="117" t="e">
        <f t="shared" si="29"/>
        <v>#N/A</v>
      </c>
      <c r="AF25" s="117" t="e">
        <f t="shared" si="30"/>
        <v>#N/A</v>
      </c>
      <c r="AG25" s="118">
        <f t="shared" si="31"/>
        <v>5.3142271119615982E-2</v>
      </c>
      <c r="AH25" s="118" t="e">
        <f t="shared" si="32"/>
        <v>#N/A</v>
      </c>
      <c r="AI25" s="118" t="e">
        <f t="shared" si="33"/>
        <v>#N/A</v>
      </c>
      <c r="AJ25" s="164">
        <f t="shared" si="47"/>
        <v>0</v>
      </c>
      <c r="AL25" s="75">
        <f t="shared" si="6"/>
        <v>4.7779732852091056E-2</v>
      </c>
      <c r="AM25" s="75">
        <f>ABS(AL25-AL24)</f>
        <v>1.9531593555290314E-2</v>
      </c>
      <c r="AN25" s="75">
        <f t="shared" si="49"/>
        <v>0.10999999999999988</v>
      </c>
      <c r="AO25" s="75">
        <f t="shared" si="50"/>
        <v>2.1484752910819319E-3</v>
      </c>
      <c r="AP25" s="165">
        <f t="shared" si="34"/>
        <v>5.2557706137300207E-3</v>
      </c>
      <c r="AQ25" s="75">
        <f t="shared" si="51"/>
        <v>9.0909090909090828E-2</v>
      </c>
      <c r="AR25" s="75">
        <f t="shared" si="52"/>
        <v>1.4285714285714287E-2</v>
      </c>
      <c r="AS25" s="75">
        <f t="shared" si="53"/>
        <v>0</v>
      </c>
      <c r="AT25" s="120">
        <f t="shared" si="35"/>
        <v>0.1667566423797798</v>
      </c>
      <c r="AU25" s="87">
        <f t="shared" si="36"/>
        <v>1.0244799712423994E-4</v>
      </c>
      <c r="AV25" s="75">
        <f t="shared" si="7"/>
        <v>2.333967751860137E-5</v>
      </c>
      <c r="AW25" s="75">
        <f t="shared" si="8"/>
        <v>5.7634713872464726E-7</v>
      </c>
      <c r="AX25" s="75">
        <f t="shared" si="9"/>
        <v>0</v>
      </c>
      <c r="AY25" s="75">
        <f t="shared" si="37"/>
        <v>7.8531972466913918E-5</v>
      </c>
      <c r="AZ25" s="76">
        <f t="shared" si="38"/>
        <v>0</v>
      </c>
      <c r="BA25" s="35">
        <f t="shared" si="39"/>
        <v>1.2155042301226916E-2</v>
      </c>
      <c r="BB25" s="35">
        <f t="shared" si="10"/>
        <v>0.33526279441628826</v>
      </c>
      <c r="BC25" s="35">
        <f t="shared" si="11"/>
        <v>0.3352627944162882</v>
      </c>
      <c r="BD25" s="35">
        <f t="shared" si="12"/>
        <v>0.3647372055837117</v>
      </c>
      <c r="BE25" s="35">
        <f t="shared" si="13"/>
        <v>0.36473720558371175</v>
      </c>
      <c r="BF25" s="35">
        <f t="shared" si="14"/>
        <v>1.2155042301226906E-2</v>
      </c>
      <c r="BG25" s="35">
        <f t="shared" si="15"/>
        <v>0.13360857464952841</v>
      </c>
      <c r="BH25" s="35">
        <f t="shared" si="16"/>
        <v>0.13360857464952841</v>
      </c>
      <c r="BI25" s="35">
        <f t="shared" si="17"/>
        <v>0.13935792907149527</v>
      </c>
      <c r="BJ25" s="35">
        <f t="shared" si="18"/>
        <v>0.1393579290714953</v>
      </c>
      <c r="BK25" s="35">
        <f t="shared" si="40"/>
        <v>6.0788690819634549E-3</v>
      </c>
      <c r="BM25" s="35">
        <f t="shared" si="41"/>
        <v>4.1724694990385849E-7</v>
      </c>
      <c r="BN25" s="35">
        <f t="shared" si="42"/>
        <v>1.0435801313671725E-7</v>
      </c>
      <c r="BO25" s="35">
        <f t="shared" si="54"/>
        <v>0.11309380059312288</v>
      </c>
      <c r="BP25" s="35">
        <f t="shared" si="19"/>
        <v>5.9439507375237796E-4</v>
      </c>
      <c r="BQ25" s="47">
        <f t="shared" si="20"/>
        <v>1.0296960208728051E-4</v>
      </c>
      <c r="BS25" s="159">
        <f t="shared" ref="BS25:BT40" si="59">BS22+1</f>
        <v>3</v>
      </c>
      <c r="BT25" s="159">
        <f t="shared" si="59"/>
        <v>4</v>
      </c>
      <c r="BU25" s="166">
        <f t="shared" si="43"/>
        <v>2.2199999999999998</v>
      </c>
      <c r="BV25" s="167">
        <f t="shared" ref="BV25" si="60">IF(ISBLANK(INDEX(B$17:B$42,BS25)),BV24,$BV$15)</f>
        <v>0</v>
      </c>
    </row>
    <row r="26" spans="1:74" ht="36" customHeight="1" x14ac:dyDescent="0.45">
      <c r="A26" s="180">
        <v>10</v>
      </c>
      <c r="B26" s="181">
        <v>2.93</v>
      </c>
      <c r="C26" s="182">
        <v>34</v>
      </c>
      <c r="D26" s="182">
        <v>2</v>
      </c>
      <c r="E26" s="182"/>
      <c r="F26" s="182"/>
      <c r="H26" s="113">
        <f t="shared" si="2"/>
        <v>0.19809088823063015</v>
      </c>
      <c r="I26" s="113">
        <f>IF(ISBLANK(B27),IF(ISBLANK(B26),"",(2*E26-1)*I25),MAX(0,$H$5*H26+$I$5))</f>
        <v>0.10797625935583392</v>
      </c>
      <c r="J26" s="114">
        <f t="shared" si="21"/>
        <v>3.6711928180983538E-2</v>
      </c>
      <c r="K26" s="113">
        <f t="shared" si="45"/>
        <v>3.740000000000003E-2</v>
      </c>
      <c r="L26" s="163">
        <f t="shared" si="22"/>
        <v>4.0383120999081916E-3</v>
      </c>
      <c r="M26" s="115">
        <f t="shared" si="23"/>
        <v>4.0832276035472105E-2</v>
      </c>
      <c r="N26" s="116">
        <f t="shared" si="24"/>
        <v>-0.34</v>
      </c>
      <c r="O26" s="38"/>
      <c r="P26" s="38">
        <f t="shared" si="25"/>
        <v>1.9448000000000008</v>
      </c>
      <c r="Q26" s="38">
        <f t="shared" si="3"/>
        <v>0.12148027527783101</v>
      </c>
      <c r="R26" s="38"/>
      <c r="S26" s="38"/>
      <c r="T26" s="38">
        <f t="shared" si="26"/>
        <v>3.5351999999999992</v>
      </c>
      <c r="U26" s="38">
        <f t="shared" si="4"/>
        <v>0.17014277671093631</v>
      </c>
      <c r="V26" s="38"/>
      <c r="W26" s="38">
        <f t="shared" si="46"/>
        <v>0.10797625935583392</v>
      </c>
      <c r="X26" s="38"/>
      <c r="AA26" s="58"/>
      <c r="AB26" s="38"/>
      <c r="AC26" s="75">
        <f t="shared" si="27"/>
        <v>2.93</v>
      </c>
      <c r="AD26" s="117">
        <f t="shared" si="28"/>
        <v>0.10797625935583392</v>
      </c>
      <c r="AE26" s="117" t="e">
        <f t="shared" si="29"/>
        <v>#N/A</v>
      </c>
      <c r="AF26" s="117" t="e">
        <f t="shared" si="30"/>
        <v>#N/A</v>
      </c>
      <c r="AG26" s="118">
        <f t="shared" si="31"/>
        <v>4.0832276035472105E-2</v>
      </c>
      <c r="AH26" s="118" t="e">
        <f t="shared" si="32"/>
        <v>#N/A</v>
      </c>
      <c r="AI26" s="118" t="e">
        <f t="shared" si="33"/>
        <v>#N/A</v>
      </c>
      <c r="AJ26" s="164">
        <f t="shared" si="47"/>
        <v>0</v>
      </c>
      <c r="AL26" s="75">
        <f t="shared" si="6"/>
        <v>3.6711928180983538E-2</v>
      </c>
      <c r="AM26" s="75">
        <f t="shared" si="48"/>
        <v>1.1067804671107517E-2</v>
      </c>
      <c r="AN26" s="75">
        <f t="shared" si="49"/>
        <v>0.11000000000000032</v>
      </c>
      <c r="AO26" s="75">
        <f t="shared" si="50"/>
        <v>1.2174585138218304E-3</v>
      </c>
      <c r="AP26" s="165">
        <f t="shared" si="34"/>
        <v>4.0383120999081916E-3</v>
      </c>
      <c r="AQ26" s="75">
        <f t="shared" si="51"/>
        <v>9.0909090909090828E-2</v>
      </c>
      <c r="AR26" s="75">
        <f t="shared" si="52"/>
        <v>1.4705882352941178E-2</v>
      </c>
      <c r="AS26" s="75">
        <f t="shared" si="53"/>
        <v>0</v>
      </c>
      <c r="AT26" s="120">
        <f t="shared" si="35"/>
        <v>0.25003999680051192</v>
      </c>
      <c r="AU26" s="87">
        <f t="shared" si="36"/>
        <v>1.1837771848700274E-4</v>
      </c>
      <c r="AV26" s="75">
        <f t="shared" si="7"/>
        <v>1.3779130299479231E-5</v>
      </c>
      <c r="AW26" s="75">
        <f t="shared" si="8"/>
        <v>3.6056980238689233E-7</v>
      </c>
      <c r="AX26" s="75">
        <f t="shared" si="9"/>
        <v>0</v>
      </c>
      <c r="AY26" s="75">
        <f t="shared" si="37"/>
        <v>1.0423801838513662E-4</v>
      </c>
      <c r="AZ26" s="76">
        <f t="shared" si="38"/>
        <v>0</v>
      </c>
      <c r="BA26" s="35">
        <f t="shared" si="39"/>
        <v>1.251254354538065E-2</v>
      </c>
      <c r="BB26" s="35">
        <f t="shared" si="10"/>
        <v>0.32526279441628825</v>
      </c>
      <c r="BC26" s="35">
        <f t="shared" si="11"/>
        <v>0.3252627944162883</v>
      </c>
      <c r="BD26" s="35">
        <f t="shared" si="12"/>
        <v>0.3547372055837118</v>
      </c>
      <c r="BE26" s="35">
        <f t="shared" si="13"/>
        <v>0.35473720558371175</v>
      </c>
      <c r="BF26" s="35">
        <f t="shared" si="14"/>
        <v>1.2512543545380639E-2</v>
      </c>
      <c r="BG26" s="35">
        <f t="shared" si="15"/>
        <v>0.10561023619855379</v>
      </c>
      <c r="BH26" s="35">
        <f t="shared" si="16"/>
        <v>0.10561023619855379</v>
      </c>
      <c r="BI26" s="35">
        <f t="shared" si="17"/>
        <v>0.11029153720500186</v>
      </c>
      <c r="BJ26" s="35">
        <f t="shared" si="18"/>
        <v>0.11029153720500183</v>
      </c>
      <c r="BK26" s="35">
        <f t="shared" si="40"/>
        <v>6.2577422397167397E-3</v>
      </c>
      <c r="BM26" s="35">
        <f t="shared" si="41"/>
        <v>2.6103478297173349E-7</v>
      </c>
      <c r="BN26" s="35">
        <f t="shared" si="42"/>
        <v>6.5289376007799821E-8</v>
      </c>
      <c r="BO26" s="35">
        <f t="shared" si="54"/>
        <v>4.532994360037243E-2</v>
      </c>
      <c r="BP26" s="35">
        <f t="shared" si="19"/>
        <v>1.8305645972953988E-4</v>
      </c>
      <c r="BQ26" s="47">
        <f t="shared" si="20"/>
        <v>1.1870404264598228E-4</v>
      </c>
      <c r="BS26" s="159">
        <f t="shared" si="59"/>
        <v>4</v>
      </c>
      <c r="BT26" s="159">
        <f t="shared" si="59"/>
        <v>3</v>
      </c>
      <c r="BU26" s="166">
        <f t="shared" si="43"/>
        <v>2.2199999999999998</v>
      </c>
      <c r="BV26" s="167">
        <f t="shared" ref="BV26" si="61">INDEX(N$17:N$42,BS26)</f>
        <v>-0.24</v>
      </c>
    </row>
    <row r="27" spans="1:74" ht="36" customHeight="1" x14ac:dyDescent="0.45">
      <c r="A27" s="178">
        <v>11</v>
      </c>
      <c r="B27" s="179">
        <v>3.04</v>
      </c>
      <c r="C27" s="179">
        <v>34</v>
      </c>
      <c r="D27" s="179">
        <v>10</v>
      </c>
      <c r="E27" s="179"/>
      <c r="F27" s="179"/>
      <c r="H27" s="113">
        <f t="shared" si="2"/>
        <v>0.44294469180700202</v>
      </c>
      <c r="I27" s="113">
        <f t="shared" si="55"/>
        <v>0.26492754744828828</v>
      </c>
      <c r="J27" s="114">
        <f t="shared" si="21"/>
        <v>9.0075366132418025E-2</v>
      </c>
      <c r="K27" s="113">
        <f t="shared" si="45"/>
        <v>3.7399999999999961E-2</v>
      </c>
      <c r="L27" s="163">
        <f t="shared" si="22"/>
        <v>9.9082902745659708E-3</v>
      </c>
      <c r="M27" s="115">
        <f t="shared" si="23"/>
        <v>0.10018493705324541</v>
      </c>
      <c r="N27" s="116">
        <f t="shared" si="24"/>
        <v>-0.34</v>
      </c>
      <c r="O27" s="38"/>
      <c r="P27" s="38">
        <f t="shared" si="25"/>
        <v>1.9520000000000008</v>
      </c>
      <c r="Q27" s="38">
        <f t="shared" si="3"/>
        <v>0.12795080978881787</v>
      </c>
      <c r="R27" s="38"/>
      <c r="S27" s="38"/>
      <c r="T27" s="38">
        <f t="shared" si="26"/>
        <v>3.5279999999999991</v>
      </c>
      <c r="U27" s="38">
        <f t="shared" si="4"/>
        <v>0.17308618669295278</v>
      </c>
      <c r="V27" s="38"/>
      <c r="W27" s="38">
        <f t="shared" si="46"/>
        <v>0.26492754744828828</v>
      </c>
      <c r="X27" s="38"/>
      <c r="Y27" s="58"/>
      <c r="Z27" s="38"/>
      <c r="AA27" s="58"/>
      <c r="AB27" s="38"/>
      <c r="AC27" s="75">
        <f t="shared" si="27"/>
        <v>3.04</v>
      </c>
      <c r="AD27" s="117" t="e">
        <f t="shared" si="28"/>
        <v>#N/A</v>
      </c>
      <c r="AE27" s="117">
        <f t="shared" si="29"/>
        <v>0.26492754744828828</v>
      </c>
      <c r="AF27" s="117" t="e">
        <f t="shared" si="30"/>
        <v>#N/A</v>
      </c>
      <c r="AG27" s="118" t="e">
        <f t="shared" si="31"/>
        <v>#N/A</v>
      </c>
      <c r="AH27" s="118">
        <f t="shared" si="32"/>
        <v>0.10018493705324541</v>
      </c>
      <c r="AI27" s="118" t="e">
        <f t="shared" si="33"/>
        <v>#N/A</v>
      </c>
      <c r="AJ27" s="164">
        <f t="shared" si="47"/>
        <v>0</v>
      </c>
      <c r="AL27" s="75">
        <f t="shared" si="6"/>
        <v>9.0075366132418025E-2</v>
      </c>
      <c r="AM27" s="75">
        <f t="shared" si="48"/>
        <v>5.3363437951434486E-2</v>
      </c>
      <c r="AN27" s="75">
        <f t="shared" si="49"/>
        <v>0.10999999999999988</v>
      </c>
      <c r="AO27" s="75">
        <f t="shared" si="50"/>
        <v>5.869978174657787E-3</v>
      </c>
      <c r="AP27" s="165">
        <f t="shared" si="34"/>
        <v>9.9082902745659708E-3</v>
      </c>
      <c r="AQ27" s="75">
        <f t="shared" si="51"/>
        <v>9.0909090909091009E-2</v>
      </c>
      <c r="AR27" s="75">
        <f t="shared" si="52"/>
        <v>1.4705882352941178E-2</v>
      </c>
      <c r="AS27" s="75">
        <f t="shared" si="53"/>
        <v>0</v>
      </c>
      <c r="AT27" s="120">
        <f t="shared" si="35"/>
        <v>5.099019513592784E-2</v>
      </c>
      <c r="AU27" s="87">
        <f t="shared" si="36"/>
        <v>1.1121748419169508E-4</v>
      </c>
      <c r="AV27" s="75">
        <f t="shared" si="7"/>
        <v>8.2950591837708802E-5</v>
      </c>
      <c r="AW27" s="75">
        <f t="shared" si="8"/>
        <v>2.1706361618431542E-6</v>
      </c>
      <c r="AX27" s="75">
        <f t="shared" si="9"/>
        <v>0</v>
      </c>
      <c r="AY27" s="75">
        <f t="shared" si="37"/>
        <v>2.6096256192143125E-5</v>
      </c>
      <c r="AZ27" s="76">
        <f t="shared" si="38"/>
        <v>0</v>
      </c>
      <c r="BA27" s="35">
        <f t="shared" si="39"/>
        <v>1.2512543545380625E-2</v>
      </c>
      <c r="BB27" s="35">
        <f t="shared" si="10"/>
        <v>0.3252627944162883</v>
      </c>
      <c r="BC27" s="35">
        <f t="shared" si="11"/>
        <v>0.3252627944162883</v>
      </c>
      <c r="BD27" s="35">
        <f t="shared" si="12"/>
        <v>0.35473720558371175</v>
      </c>
      <c r="BE27" s="35">
        <f t="shared" si="13"/>
        <v>0.35473720558371175</v>
      </c>
      <c r="BF27" s="35">
        <f t="shared" si="14"/>
        <v>1.2512543545380617E-2</v>
      </c>
      <c r="BG27" s="35">
        <f t="shared" si="15"/>
        <v>0.25912233882184021</v>
      </c>
      <c r="BH27" s="35">
        <f t="shared" si="16"/>
        <v>0.25912233882184021</v>
      </c>
      <c r="BI27" s="35">
        <f t="shared" si="17"/>
        <v>0.2706082487978323</v>
      </c>
      <c r="BJ27" s="35">
        <f t="shared" si="18"/>
        <v>0.2706082487978323</v>
      </c>
      <c r="BK27" s="35">
        <f t="shared" si="40"/>
        <v>6.2577422397167189E-3</v>
      </c>
      <c r="BM27" s="35">
        <f t="shared" si="41"/>
        <v>1.5714337020640086E-6</v>
      </c>
      <c r="BN27" s="35">
        <f t="shared" si="42"/>
        <v>3.9304312121689774E-7</v>
      </c>
      <c r="BO27" s="35">
        <f t="shared" si="54"/>
        <v>0</v>
      </c>
      <c r="BP27" s="35">
        <f t="shared" si="19"/>
        <v>0</v>
      </c>
      <c r="BQ27" s="47">
        <f t="shared" si="20"/>
        <v>1.1318196101497598E-4</v>
      </c>
      <c r="BS27" s="159">
        <f t="shared" si="59"/>
        <v>4</v>
      </c>
      <c r="BT27" s="159">
        <f t="shared" si="59"/>
        <v>5</v>
      </c>
      <c r="BU27" s="166">
        <f t="shared" si="43"/>
        <v>2.3250000000000002</v>
      </c>
      <c r="BV27" s="167">
        <f t="shared" si="44"/>
        <v>-0.24</v>
      </c>
    </row>
    <row r="28" spans="1:74" ht="36" customHeight="1" x14ac:dyDescent="0.45">
      <c r="A28" s="180">
        <v>12</v>
      </c>
      <c r="B28" s="181">
        <v>3.15</v>
      </c>
      <c r="C28" s="181">
        <v>34</v>
      </c>
      <c r="D28" s="181">
        <v>10</v>
      </c>
      <c r="E28" s="181"/>
      <c r="F28" s="181"/>
      <c r="H28" s="113">
        <f t="shared" si="2"/>
        <v>0.44294469180700202</v>
      </c>
      <c r="I28" s="113">
        <f t="shared" si="55"/>
        <v>0.26492754744828828</v>
      </c>
      <c r="J28" s="114">
        <f t="shared" si="21"/>
        <v>9.0075366132418025E-2</v>
      </c>
      <c r="K28" s="113">
        <f t="shared" si="45"/>
        <v>3.7399999999999961E-2</v>
      </c>
      <c r="L28" s="163">
        <f t="shared" si="22"/>
        <v>9.9082902745659708E-3</v>
      </c>
      <c r="M28" s="115">
        <f t="shared" si="23"/>
        <v>0.10018493705324541</v>
      </c>
      <c r="N28" s="116">
        <f t="shared" si="24"/>
        <v>-0.34</v>
      </c>
      <c r="O28" s="38"/>
      <c r="P28" s="38">
        <f t="shared" si="25"/>
        <v>1.9592000000000009</v>
      </c>
      <c r="Q28" s="38">
        <f t="shared" si="3"/>
        <v>0.13410052582713122</v>
      </c>
      <c r="R28" s="38"/>
      <c r="S28" s="38"/>
      <c r="T28" s="38">
        <f t="shared" si="26"/>
        <v>3.520799999999999</v>
      </c>
      <c r="U28" s="38">
        <f t="shared" si="4"/>
        <v>0.17579266662680992</v>
      </c>
      <c r="V28" s="38"/>
      <c r="W28" s="38">
        <f t="shared" si="46"/>
        <v>0.26492754744828828</v>
      </c>
      <c r="X28" s="38"/>
      <c r="Y28" s="58"/>
      <c r="Z28" s="38"/>
      <c r="AA28" s="58"/>
      <c r="AB28" s="38"/>
      <c r="AC28" s="75">
        <f t="shared" si="27"/>
        <v>3.15</v>
      </c>
      <c r="AD28" s="117" t="e">
        <f t="shared" si="28"/>
        <v>#N/A</v>
      </c>
      <c r="AE28" s="117">
        <f t="shared" si="29"/>
        <v>0.26492754744828828</v>
      </c>
      <c r="AF28" s="117" t="e">
        <f t="shared" si="30"/>
        <v>#N/A</v>
      </c>
      <c r="AG28" s="118" t="e">
        <f t="shared" si="31"/>
        <v>#N/A</v>
      </c>
      <c r="AH28" s="118">
        <f t="shared" si="32"/>
        <v>0.10018493705324541</v>
      </c>
      <c r="AI28" s="118" t="e">
        <f t="shared" si="33"/>
        <v>#N/A</v>
      </c>
      <c r="AJ28" s="164">
        <f t="shared" si="47"/>
        <v>0</v>
      </c>
      <c r="AL28" s="75">
        <f t="shared" si="6"/>
        <v>9.0075366132418025E-2</v>
      </c>
      <c r="AM28" s="75">
        <f t="shared" si="48"/>
        <v>0</v>
      </c>
      <c r="AN28" s="75">
        <f t="shared" si="49"/>
        <v>0.10999999999999988</v>
      </c>
      <c r="AO28" s="75">
        <f t="shared" si="50"/>
        <v>0</v>
      </c>
      <c r="AP28" s="165">
        <f t="shared" si="34"/>
        <v>9.9082902745659708E-3</v>
      </c>
      <c r="AQ28" s="75">
        <f t="shared" si="51"/>
        <v>9.0909090909091009E-2</v>
      </c>
      <c r="AR28" s="75">
        <f t="shared" si="52"/>
        <v>1.4705882352941178E-2</v>
      </c>
      <c r="AS28" s="75">
        <f t="shared" si="53"/>
        <v>0</v>
      </c>
      <c r="AT28" s="120">
        <f t="shared" si="35"/>
        <v>5.099019513592784E-2</v>
      </c>
      <c r="AU28" s="87">
        <f t="shared" si="36"/>
        <v>1.1121748419169508E-4</v>
      </c>
      <c r="AV28" s="75">
        <f t="shared" si="7"/>
        <v>8.2950591837708802E-5</v>
      </c>
      <c r="AW28" s="75">
        <f t="shared" si="8"/>
        <v>2.1706361618431542E-6</v>
      </c>
      <c r="AX28" s="75">
        <f t="shared" si="9"/>
        <v>0</v>
      </c>
      <c r="AY28" s="75">
        <f t="shared" si="37"/>
        <v>2.6096256192143125E-5</v>
      </c>
      <c r="AZ28" s="76">
        <f t="shared" si="38"/>
        <v>0</v>
      </c>
      <c r="BA28" s="35">
        <f t="shared" si="39"/>
        <v>1.2512543545380625E-2</v>
      </c>
      <c r="BB28" s="35">
        <f t="shared" si="10"/>
        <v>0.3252627944162883</v>
      </c>
      <c r="BC28" s="35">
        <f t="shared" si="11"/>
        <v>0.3252627944162883</v>
      </c>
      <c r="BD28" s="35">
        <f t="shared" si="12"/>
        <v>0.35473720558371175</v>
      </c>
      <c r="BE28" s="35">
        <f t="shared" si="13"/>
        <v>0.35473720558371175</v>
      </c>
      <c r="BF28" s="35">
        <f t="shared" si="14"/>
        <v>1.2512543545380617E-2</v>
      </c>
      <c r="BG28" s="35">
        <f t="shared" si="15"/>
        <v>0.25912233882184021</v>
      </c>
      <c r="BH28" s="35">
        <f t="shared" si="16"/>
        <v>0.25912233882184021</v>
      </c>
      <c r="BI28" s="35">
        <f t="shared" si="17"/>
        <v>0.2706082487978323</v>
      </c>
      <c r="BJ28" s="35">
        <f t="shared" si="18"/>
        <v>0.2706082487978323</v>
      </c>
      <c r="BK28" s="35">
        <f t="shared" si="40"/>
        <v>6.2577422397167189E-3</v>
      </c>
      <c r="BM28" s="35">
        <f t="shared" si="41"/>
        <v>1.5714337020640086E-6</v>
      </c>
      <c r="BN28" s="35">
        <f t="shared" si="42"/>
        <v>3.9304312121689774E-7</v>
      </c>
      <c r="BO28" s="35">
        <f t="shared" si="54"/>
        <v>0.23182380450040327</v>
      </c>
      <c r="BP28" s="35">
        <f t="shared" si="19"/>
        <v>2.2969775475442287E-3</v>
      </c>
      <c r="BQ28" s="47">
        <f t="shared" si="20"/>
        <v>1.1318196101497598E-4</v>
      </c>
      <c r="BS28" s="159">
        <f t="shared" si="59"/>
        <v>4</v>
      </c>
      <c r="BT28" s="159">
        <f t="shared" si="59"/>
        <v>5</v>
      </c>
      <c r="BU28" s="166">
        <f t="shared" si="43"/>
        <v>2.3250000000000002</v>
      </c>
      <c r="BV28" s="167">
        <f t="shared" ref="BV28" si="62">IF(ISBLANK(INDEX(B$17:B$42,BS28)),BV27,$BV$15)</f>
        <v>0</v>
      </c>
    </row>
    <row r="29" spans="1:74" ht="36" customHeight="1" x14ac:dyDescent="0.45">
      <c r="A29" s="178">
        <v>13</v>
      </c>
      <c r="B29" s="179">
        <v>3.26</v>
      </c>
      <c r="C29" s="179">
        <v>28.5</v>
      </c>
      <c r="D29" s="179">
        <v>21</v>
      </c>
      <c r="E29" s="179"/>
      <c r="F29" s="179"/>
      <c r="H29" s="113">
        <f t="shared" si="2"/>
        <v>0.64188784067000371</v>
      </c>
      <c r="I29" s="113">
        <f t="shared" si="55"/>
        <v>0.39245010586947238</v>
      </c>
      <c r="J29" s="114">
        <f t="shared" si="21"/>
        <v>0.11184828017279962</v>
      </c>
      <c r="K29" s="113">
        <f>IF(ISBLANK(B29),"",IF(ISBLANK(B30),ABS(B28-B29)/2*C29/100,ABS(B30-B28)/2*C29/100))</f>
        <v>3.8475000000000002E-2</v>
      </c>
      <c r="L29" s="163">
        <f t="shared" si="22"/>
        <v>1.5099517823327951E-2</v>
      </c>
      <c r="M29" s="115">
        <f t="shared" si="23"/>
        <v>0.15267459882030285</v>
      </c>
      <c r="N29" s="116">
        <f t="shared" si="24"/>
        <v>-0.28499999999999998</v>
      </c>
      <c r="O29" s="38"/>
      <c r="P29" s="38">
        <f t="shared" si="25"/>
        <v>1.966400000000001</v>
      </c>
      <c r="Q29" s="38">
        <f t="shared" si="3"/>
        <v>0.1399725121151921</v>
      </c>
      <c r="R29" s="38"/>
      <c r="S29" s="38"/>
      <c r="T29" s="38">
        <f t="shared" si="26"/>
        <v>3.5135999999999989</v>
      </c>
      <c r="U29" s="38">
        <f t="shared" si="4"/>
        <v>0.17830042577768751</v>
      </c>
      <c r="V29" s="38"/>
      <c r="W29" s="38">
        <f t="shared" si="46"/>
        <v>0.39245010586947238</v>
      </c>
      <c r="X29" s="38"/>
      <c r="Y29" s="58"/>
      <c r="Z29" s="38"/>
      <c r="AA29" s="58"/>
      <c r="AB29" s="38"/>
      <c r="AC29" s="75">
        <f t="shared" si="27"/>
        <v>3.26</v>
      </c>
      <c r="AD29" s="117" t="e">
        <f t="shared" si="28"/>
        <v>#N/A</v>
      </c>
      <c r="AE29" s="117" t="e">
        <f t="shared" si="29"/>
        <v>#N/A</v>
      </c>
      <c r="AF29" s="117">
        <f t="shared" si="30"/>
        <v>0.39245010586947238</v>
      </c>
      <c r="AG29" s="118" t="e">
        <f t="shared" si="31"/>
        <v>#N/A</v>
      </c>
      <c r="AH29" s="118" t="e">
        <f t="shared" si="32"/>
        <v>#N/A</v>
      </c>
      <c r="AI29" s="118">
        <f t="shared" si="33"/>
        <v>0.15267459882030285</v>
      </c>
      <c r="AJ29" s="164">
        <f t="shared" si="47"/>
        <v>0</v>
      </c>
      <c r="AL29" s="75">
        <f t="shared" si="6"/>
        <v>0.11184828017279962</v>
      </c>
      <c r="AM29" s="75">
        <f t="shared" si="48"/>
        <v>2.1772914040381591E-2</v>
      </c>
      <c r="AN29" s="75">
        <f t="shared" si="49"/>
        <v>0.10999999999999988</v>
      </c>
      <c r="AO29" s="75">
        <f t="shared" si="50"/>
        <v>2.3950205444419723E-3</v>
      </c>
      <c r="AP29" s="165">
        <f t="shared" si="34"/>
        <v>1.5099517823327951E-2</v>
      </c>
      <c r="AQ29" s="75">
        <f t="shared" si="51"/>
        <v>7.407407407407407E-2</v>
      </c>
      <c r="AR29" s="75">
        <f t="shared" si="52"/>
        <v>1.754385964912281E-2</v>
      </c>
      <c r="AS29" s="75">
        <f t="shared" si="53"/>
        <v>0</v>
      </c>
      <c r="AT29" s="120">
        <f t="shared" si="35"/>
        <v>2.7872807968274044E-2</v>
      </c>
      <c r="AU29" s="87">
        <f t="shared" si="36"/>
        <v>1.5318206737867908E-4</v>
      </c>
      <c r="AV29" s="75">
        <f t="shared" si="7"/>
        <v>1.2789867283917922E-4</v>
      </c>
      <c r="AW29" s="75">
        <f t="shared" si="8"/>
        <v>7.174371537377785E-6</v>
      </c>
      <c r="AX29" s="75">
        <f t="shared" si="9"/>
        <v>0</v>
      </c>
      <c r="AY29" s="75">
        <f t="shared" si="37"/>
        <v>1.8109023002122074E-5</v>
      </c>
      <c r="AZ29" s="76">
        <f t="shared" si="38"/>
        <v>0</v>
      </c>
      <c r="BA29" s="35">
        <f t="shared" si="39"/>
        <v>1.8948051646841407E-2</v>
      </c>
      <c r="BB29" s="35">
        <f t="shared" si="10"/>
        <v>0.27026279441628825</v>
      </c>
      <c r="BC29" s="35">
        <f t="shared" si="11"/>
        <v>0.26356406460551013</v>
      </c>
      <c r="BD29" s="35">
        <f t="shared" si="12"/>
        <v>0.2997372055837117</v>
      </c>
      <c r="BE29" s="35">
        <f t="shared" si="13"/>
        <v>0.30643593539448982</v>
      </c>
      <c r="BF29" s="35">
        <f t="shared" si="14"/>
        <v>1.8948051646841407E-2</v>
      </c>
      <c r="BG29" s="35">
        <f t="shared" si="15"/>
        <v>0.38216873255784145</v>
      </c>
      <c r="BH29" s="35">
        <f t="shared" si="16"/>
        <v>0.37740280077164129</v>
      </c>
      <c r="BI29" s="35">
        <f t="shared" si="17"/>
        <v>0.40246891935782209</v>
      </c>
      <c r="BJ29" s="35">
        <f t="shared" si="18"/>
        <v>0.40694139278726721</v>
      </c>
      <c r="BK29" s="35">
        <f t="shared" si="40"/>
        <v>9.4796038629041905E-3</v>
      </c>
      <c r="BM29" s="35">
        <f t="shared" si="41"/>
        <v>8.3687904713094246E-6</v>
      </c>
      <c r="BN29" s="35">
        <f t="shared" si="42"/>
        <v>2.0946619971159357E-6</v>
      </c>
      <c r="BO29" s="35">
        <f t="shared" si="54"/>
        <v>0.58225100844262812</v>
      </c>
      <c r="BP29" s="35">
        <f t="shared" si="19"/>
        <v>8.7917094796301359E-3</v>
      </c>
      <c r="BQ29" s="47">
        <f t="shared" si="20"/>
        <v>1.6364551984710443E-4</v>
      </c>
      <c r="BS29" s="159">
        <f t="shared" si="59"/>
        <v>5</v>
      </c>
      <c r="BT29" s="159">
        <f t="shared" si="59"/>
        <v>4</v>
      </c>
      <c r="BU29" s="166">
        <f t="shared" si="43"/>
        <v>2.3250000000000002</v>
      </c>
      <c r="BV29" s="167">
        <f t="shared" ref="BV29" si="63">INDEX(N$17:N$42,BS29)</f>
        <v>-0.3</v>
      </c>
    </row>
    <row r="30" spans="1:74" ht="36" customHeight="1" x14ac:dyDescent="0.45">
      <c r="A30" s="180">
        <v>14</v>
      </c>
      <c r="B30" s="181">
        <v>3.42</v>
      </c>
      <c r="C30" s="181">
        <v>15</v>
      </c>
      <c r="D30" s="181">
        <v>6</v>
      </c>
      <c r="E30" s="181"/>
      <c r="F30" s="181"/>
      <c r="H30" s="113">
        <f t="shared" si="2"/>
        <v>0.34310348293189913</v>
      </c>
      <c r="I30" s="113">
        <f t="shared" si="55"/>
        <v>0.20092933255934736</v>
      </c>
      <c r="J30" s="114">
        <f t="shared" si="21"/>
        <v>3.0139399883902102E-2</v>
      </c>
      <c r="K30" s="113">
        <f t="shared" si="45"/>
        <v>2.5500000000000026E-2</v>
      </c>
      <c r="L30" s="163">
        <f t="shared" si="22"/>
        <v>5.1236979802633626E-3</v>
      </c>
      <c r="M30" s="115">
        <f t="shared" si="23"/>
        <v>5.1806855209942999E-2</v>
      </c>
      <c r="N30" s="116">
        <f t="shared" si="24"/>
        <v>-0.15</v>
      </c>
      <c r="O30" s="38"/>
      <c r="P30" s="38">
        <f t="shared" si="25"/>
        <v>1.9736000000000011</v>
      </c>
      <c r="Q30" s="38">
        <f t="shared" si="3"/>
        <v>0.14560101130211597</v>
      </c>
      <c r="R30" s="38"/>
      <c r="S30" s="38"/>
      <c r="T30" s="38">
        <f t="shared" si="26"/>
        <v>3.5063999999999989</v>
      </c>
      <c r="U30" s="38">
        <f t="shared" si="4"/>
        <v>0.18063891989807013</v>
      </c>
      <c r="V30" s="38"/>
      <c r="W30" s="38">
        <f t="shared" si="46"/>
        <v>0.20092933255934736</v>
      </c>
      <c r="X30" s="38"/>
      <c r="Y30" s="58"/>
      <c r="Z30" s="38"/>
      <c r="AA30" s="58"/>
      <c r="AB30" s="38"/>
      <c r="AC30" s="75">
        <f t="shared" si="27"/>
        <v>3.42</v>
      </c>
      <c r="AD30" s="117">
        <f t="shared" si="28"/>
        <v>0.20092933255934736</v>
      </c>
      <c r="AE30" s="117" t="e">
        <f t="shared" si="29"/>
        <v>#N/A</v>
      </c>
      <c r="AF30" s="117" t="e">
        <f t="shared" si="30"/>
        <v>#N/A</v>
      </c>
      <c r="AG30" s="118">
        <f t="shared" si="31"/>
        <v>5.1806855209942999E-2</v>
      </c>
      <c r="AH30" s="118" t="e">
        <f t="shared" si="32"/>
        <v>#N/A</v>
      </c>
      <c r="AI30" s="118" t="e">
        <f t="shared" si="33"/>
        <v>#N/A</v>
      </c>
      <c r="AJ30" s="164">
        <f t="shared" si="47"/>
        <v>0</v>
      </c>
      <c r="AL30" s="75">
        <f t="shared" si="6"/>
        <v>3.0139399883902102E-2</v>
      </c>
      <c r="AM30" s="75">
        <f t="shared" si="48"/>
        <v>8.1708880288897515E-2</v>
      </c>
      <c r="AN30" s="75">
        <f t="shared" si="49"/>
        <v>0.16000000000000014</v>
      </c>
      <c r="AO30" s="75">
        <f t="shared" si="50"/>
        <v>1.3073420846223614E-2</v>
      </c>
      <c r="AP30" s="165">
        <f t="shared" si="34"/>
        <v>5.1236979802633626E-3</v>
      </c>
      <c r="AQ30" s="75">
        <f t="shared" si="51"/>
        <v>5.8823529411764656E-2</v>
      </c>
      <c r="AR30" s="75">
        <f t="shared" si="52"/>
        <v>3.3333333333333333E-2</v>
      </c>
      <c r="AS30" s="75">
        <f t="shared" si="53"/>
        <v>0</v>
      </c>
      <c r="AT30" s="120">
        <f t="shared" si="35"/>
        <v>8.3692559074534489E-2</v>
      </c>
      <c r="AU30" s="87">
        <f t="shared" si="36"/>
        <v>3.106877241103669E-5</v>
      </c>
      <c r="AV30" s="75">
        <f t="shared" si="7"/>
        <v>9.2870250752387326E-6</v>
      </c>
      <c r="AW30" s="75">
        <f t="shared" si="8"/>
        <v>2.9821669408266647E-6</v>
      </c>
      <c r="AX30" s="75">
        <f t="shared" si="9"/>
        <v>0</v>
      </c>
      <c r="AY30" s="75">
        <f t="shared" si="37"/>
        <v>1.8799580394971295E-5</v>
      </c>
      <c r="AZ30" s="76">
        <f t="shared" si="38"/>
        <v>0</v>
      </c>
      <c r="BA30" s="35">
        <f t="shared" si="39"/>
        <v>4.3983486401944112E-2</v>
      </c>
      <c r="BB30" s="35">
        <f t="shared" si="10"/>
        <v>0.12856406460551015</v>
      </c>
      <c r="BC30" s="35">
        <f t="shared" si="11"/>
        <v>0.12588457268119893</v>
      </c>
      <c r="BD30" s="35">
        <f t="shared" si="12"/>
        <v>0.17143593539448984</v>
      </c>
      <c r="BE30" s="35">
        <f t="shared" si="13"/>
        <v>0.17411542731880106</v>
      </c>
      <c r="BF30" s="35">
        <f t="shared" si="14"/>
        <v>4.3983486401944119E-2</v>
      </c>
      <c r="BG30" s="35">
        <f t="shared" si="15"/>
        <v>0.18601908733984995</v>
      </c>
      <c r="BH30" s="35">
        <f t="shared" si="16"/>
        <v>0.18407040467237382</v>
      </c>
      <c r="BI30" s="35">
        <f t="shared" si="17"/>
        <v>0.21480710535440606</v>
      </c>
      <c r="BJ30" s="35">
        <f t="shared" si="18"/>
        <v>0.21647928189376034</v>
      </c>
      <c r="BK30" s="35">
        <f t="shared" si="40"/>
        <v>2.2056893281944864E-2</v>
      </c>
      <c r="BM30" s="35">
        <f t="shared" si="41"/>
        <v>5.1922281021559647E-6</v>
      </c>
      <c r="BN30" s="35">
        <f t="shared" si="42"/>
        <v>1.3057593514334709E-6</v>
      </c>
      <c r="BO30" s="35">
        <f t="shared" si="54"/>
        <v>0.43300154264953822</v>
      </c>
      <c r="BP30" s="35">
        <f t="shared" si="19"/>
        <v>2.2185691295243592E-3</v>
      </c>
      <c r="BQ30" s="47">
        <f t="shared" si="20"/>
        <v>3.7566759864626129E-5</v>
      </c>
      <c r="BS30" s="159">
        <f t="shared" si="59"/>
        <v>5</v>
      </c>
      <c r="BT30" s="159">
        <f t="shared" si="59"/>
        <v>6</v>
      </c>
      <c r="BU30" s="166">
        <f t="shared" si="43"/>
        <v>2.4350000000000001</v>
      </c>
      <c r="BV30" s="167">
        <f t="shared" si="44"/>
        <v>-0.3</v>
      </c>
    </row>
    <row r="31" spans="1:74" ht="36" customHeight="1" x14ac:dyDescent="0.45">
      <c r="A31" s="178">
        <v>15</v>
      </c>
      <c r="B31" s="179">
        <v>3.6</v>
      </c>
      <c r="C31" s="179">
        <v>12</v>
      </c>
      <c r="D31" s="179"/>
      <c r="E31" s="179">
        <v>0.86</v>
      </c>
      <c r="F31" s="179"/>
      <c r="H31" s="113">
        <f t="shared" si="2"/>
        <v>0</v>
      </c>
      <c r="I31" s="113">
        <f t="shared" si="55"/>
        <v>0.14466911944273009</v>
      </c>
      <c r="J31" s="114">
        <f t="shared" si="21"/>
        <v>1.7360294333127611E-2</v>
      </c>
      <c r="K31" s="113">
        <f t="shared" si="45"/>
        <v>1.0800000000000009E-2</v>
      </c>
      <c r="L31" s="163">
        <f>IF(ISBLANK(B31),"",I31*K31)</f>
        <v>1.5624264899814864E-3</v>
      </c>
      <c r="M31" s="115">
        <f t="shared" si="23"/>
        <v>1.5798043376961439E-2</v>
      </c>
      <c r="N31" s="116">
        <f t="shared" si="24"/>
        <v>-0.12</v>
      </c>
      <c r="O31" s="38"/>
      <c r="P31" s="38">
        <f t="shared" si="25"/>
        <v>1.9808000000000012</v>
      </c>
      <c r="Q31" s="38">
        <f t="shared" si="3"/>
        <v>0.15101376974224104</v>
      </c>
      <c r="R31" s="38"/>
      <c r="S31" s="38"/>
      <c r="T31" s="38">
        <f t="shared" si="26"/>
        <v>3.4991999999999988</v>
      </c>
      <c r="U31" s="38">
        <f t="shared" si="4"/>
        <v>0.18283136213001844</v>
      </c>
      <c r="V31" s="38"/>
      <c r="W31" s="38" t="e">
        <f t="shared" si="46"/>
        <v>#N/A</v>
      </c>
      <c r="X31" s="38"/>
      <c r="Y31" s="58"/>
      <c r="Z31" s="38"/>
      <c r="AA31" s="58"/>
      <c r="AB31" s="38"/>
      <c r="AC31" s="75">
        <f t="shared" si="27"/>
        <v>3.6</v>
      </c>
      <c r="AD31" s="117">
        <f t="shared" si="28"/>
        <v>0.14466911944273009</v>
      </c>
      <c r="AE31" s="117" t="e">
        <f t="shared" si="29"/>
        <v>#N/A</v>
      </c>
      <c r="AF31" s="117" t="e">
        <f t="shared" si="30"/>
        <v>#N/A</v>
      </c>
      <c r="AG31" s="118">
        <f t="shared" si="31"/>
        <v>1.5798043376961439E-2</v>
      </c>
      <c r="AH31" s="118" t="e">
        <f t="shared" si="32"/>
        <v>#N/A</v>
      </c>
      <c r="AI31" s="118" t="e">
        <f>IF($M31&lt;0.15,NA(),$M31)</f>
        <v>#N/A</v>
      </c>
      <c r="AJ31" s="164">
        <f t="shared" si="47"/>
        <v>1.5624264899814864E-3</v>
      </c>
      <c r="AL31" s="75">
        <f t="shared" si="6"/>
        <v>0</v>
      </c>
      <c r="AM31" s="75">
        <f t="shared" si="48"/>
        <v>3.0139399883902102E-2</v>
      </c>
      <c r="AN31" s="75">
        <f t="shared" si="49"/>
        <v>0.18000000000000016</v>
      </c>
      <c r="AO31" s="75">
        <f t="shared" si="50"/>
        <v>5.4250919791023833E-3</v>
      </c>
      <c r="AP31" s="165">
        <f t="shared" si="34"/>
        <v>1.5624264899814864E-3</v>
      </c>
      <c r="AQ31" s="75">
        <f t="shared" si="51"/>
        <v>0.11111111111111102</v>
      </c>
      <c r="AR31" s="75">
        <f t="shared" si="52"/>
        <v>4.1666666666666671E-2</v>
      </c>
      <c r="AS31" s="75">
        <f t="shared" si="53"/>
        <v>0</v>
      </c>
      <c r="AT31" s="120">
        <f t="shared" si="35"/>
        <v>8.3692559074534489E-2</v>
      </c>
      <c r="AU31" s="87">
        <f t="shared" si="36"/>
        <v>7.2842471451633976E-6</v>
      </c>
      <c r="AV31" s="75">
        <f t="shared" si="7"/>
        <v>3.0812120313624047E-6</v>
      </c>
      <c r="AW31" s="75">
        <f t="shared" si="8"/>
        <v>4.3329544191033895E-7</v>
      </c>
      <c r="AX31" s="75">
        <f t="shared" si="9"/>
        <v>0</v>
      </c>
      <c r="AY31" s="75">
        <f t="shared" si="37"/>
        <v>1.7481564581137769E-6</v>
      </c>
      <c r="AZ31" s="76">
        <f t="shared" si="38"/>
        <v>2.0215832137768768E-6</v>
      </c>
      <c r="BA31" s="35">
        <f t="shared" si="39"/>
        <v>5.8012701892219375E-2</v>
      </c>
      <c r="BB31" s="35">
        <f t="shared" si="10"/>
        <v>9.5884572681198932E-2</v>
      </c>
      <c r="BC31" s="35">
        <f t="shared" si="11"/>
        <v>0</v>
      </c>
      <c r="BD31" s="35">
        <f t="shared" si="12"/>
        <v>0.14411542731880106</v>
      </c>
      <c r="BE31" s="35">
        <f t="shared" si="13"/>
        <v>0</v>
      </c>
      <c r="BF31" s="35">
        <f t="shared" si="14"/>
        <v>5.8012701892219375E-2</v>
      </c>
      <c r="BG31" s="35">
        <f t="shared" si="15"/>
        <v>0.12931817993510122</v>
      </c>
      <c r="BH31" s="35">
        <f t="shared" si="16"/>
        <v>0</v>
      </c>
      <c r="BI31" s="35">
        <f t="shared" si="17"/>
        <v>0.15854058338148813</v>
      </c>
      <c r="BJ31" s="35">
        <f t="shared" si="18"/>
        <v>0</v>
      </c>
      <c r="BK31" s="35">
        <f t="shared" si="40"/>
        <v>2.9155431651773901E-2</v>
      </c>
      <c r="BM31" s="35">
        <f t="shared" si="41"/>
        <v>8.3994875276871991E-7</v>
      </c>
      <c r="BN31" s="35">
        <f t="shared" si="42"/>
        <v>2.1215123052625172E-7</v>
      </c>
      <c r="BO31" s="35">
        <f t="shared" si="54"/>
        <v>0.16514867741462669</v>
      </c>
      <c r="BP31" s="35">
        <f t="shared" si="19"/>
        <v>2.5803266837801998E-4</v>
      </c>
      <c r="BQ31" s="47">
        <f t="shared" si="20"/>
        <v>8.3363471284583693E-6</v>
      </c>
      <c r="BS31" s="159">
        <f t="shared" si="59"/>
        <v>5</v>
      </c>
      <c r="BT31" s="159">
        <f t="shared" si="59"/>
        <v>6</v>
      </c>
      <c r="BU31" s="166">
        <f t="shared" si="43"/>
        <v>2.4350000000000001</v>
      </c>
      <c r="BV31" s="167">
        <f t="shared" ref="BV31" si="64">IF(ISBLANK(INDEX(B$17:B$42,BS31)),BV30,$BV$15)</f>
        <v>0</v>
      </c>
    </row>
    <row r="32" spans="1:74" ht="36" customHeight="1" x14ac:dyDescent="0.45">
      <c r="A32" s="180">
        <v>16</v>
      </c>
      <c r="B32" s="184"/>
      <c r="C32" s="185"/>
      <c r="D32" s="182"/>
      <c r="E32" s="182"/>
      <c r="F32" s="181"/>
      <c r="H32" s="113" t="str">
        <f t="shared" ref="H32:H42" si="65">IF(ISBLANK(B32),"",SQRT(2*9.81*D32/1000))</f>
        <v/>
      </c>
      <c r="I32" s="113" t="str">
        <f t="shared" ref="I32:I42" si="66">IF(ISBLANK(B33),IF(ISBLANK(B32),"",(2*E32-1)*I31),MAX(0,$H$5*H32+$I$5))</f>
        <v/>
      </c>
      <c r="J32" s="114" t="str">
        <f t="shared" ref="J32:J42" si="67">IF(ISBLANK(B32),"",I32*C32/100)</f>
        <v/>
      </c>
      <c r="K32" s="113" t="str">
        <f t="shared" ref="K32:K42" si="68">IF(ISBLANK(B32),"",IF(ISBLANK(B33),ABS(B31-B32)/2*C32/100,ABS(B33-B31)/2*C32/100))</f>
        <v/>
      </c>
      <c r="L32" s="163" t="str">
        <f t="shared" ref="L32:L42" si="69">IF(ISBLANK(B32),"",I32*K32)</f>
        <v/>
      </c>
      <c r="M32" s="115">
        <f t="shared" ref="M32:M42" si="70">IF(ISBLANK(B32),0,L32/$H$9)</f>
        <v>0</v>
      </c>
      <c r="N32" s="116" t="str">
        <f t="shared" ref="N32:N42" si="71">IF(ISBLANK(B32),"",-C32/100)</f>
        <v/>
      </c>
      <c r="O32" s="38"/>
      <c r="P32" s="38">
        <f t="shared" si="25"/>
        <v>1.9880000000000013</v>
      </c>
      <c r="Q32" s="38">
        <f t="shared" si="3"/>
        <v>0.1562336411618846</v>
      </c>
      <c r="R32" s="38"/>
      <c r="S32" s="38"/>
      <c r="T32" s="38">
        <f t="shared" si="26"/>
        <v>3.4919999999999987</v>
      </c>
      <c r="U32" s="38">
        <f t="shared" si="4"/>
        <v>0.18489638872709918</v>
      </c>
      <c r="V32" s="38"/>
      <c r="W32" s="38" t="e">
        <f t="shared" si="46"/>
        <v>#N/A</v>
      </c>
      <c r="X32" s="38"/>
      <c r="Y32" s="58"/>
      <c r="Z32" s="38"/>
      <c r="AA32" s="58"/>
      <c r="AB32" s="38"/>
      <c r="AC32" s="75">
        <f t="shared" si="27"/>
        <v>0</v>
      </c>
      <c r="AD32" s="117" t="e">
        <f t="shared" si="28"/>
        <v>#N/A</v>
      </c>
      <c r="AE32" s="117" t="e">
        <f t="shared" si="29"/>
        <v>#N/A</v>
      </c>
      <c r="AF32" s="117" t="e">
        <f t="shared" si="30"/>
        <v>#N/A</v>
      </c>
      <c r="AG32" s="118">
        <f t="shared" si="31"/>
        <v>0</v>
      </c>
      <c r="AH32" s="118" t="e">
        <f t="shared" si="32"/>
        <v>#N/A</v>
      </c>
      <c r="AI32" s="118" t="e">
        <f t="shared" si="33"/>
        <v>#N/A</v>
      </c>
      <c r="AJ32" s="164">
        <f t="shared" si="47"/>
        <v>0</v>
      </c>
      <c r="AL32" s="75">
        <f t="shared" si="6"/>
        <v>0</v>
      </c>
      <c r="AM32" s="75">
        <f t="shared" si="48"/>
        <v>0</v>
      </c>
      <c r="AN32" s="75">
        <f t="shared" si="49"/>
        <v>0</v>
      </c>
      <c r="AO32" s="75">
        <f t="shared" si="50"/>
        <v>0</v>
      </c>
      <c r="AP32" s="165">
        <f t="shared" si="34"/>
        <v>0</v>
      </c>
      <c r="AQ32" s="75">
        <f t="shared" si="51"/>
        <v>0</v>
      </c>
      <c r="AR32" s="75">
        <f t="shared" si="52"/>
        <v>0</v>
      </c>
      <c r="AS32" s="75">
        <f>IF(AP32=0,0,IF(ISBLANK(#REF!),$AA$11/I31,$AA$11/I32))</f>
        <v>0</v>
      </c>
      <c r="AT32" s="120">
        <f t="shared" si="35"/>
        <v>0</v>
      </c>
      <c r="AU32" s="87">
        <f t="shared" si="36"/>
        <v>0</v>
      </c>
      <c r="AV32" s="75">
        <f t="shared" si="7"/>
        <v>0</v>
      </c>
      <c r="AW32" s="75">
        <f t="shared" si="8"/>
        <v>0</v>
      </c>
      <c r="AX32" s="75">
        <f t="shared" si="9"/>
        <v>0</v>
      </c>
      <c r="AY32" s="75">
        <f t="shared" si="37"/>
        <v>0</v>
      </c>
      <c r="AZ32" s="76">
        <f t="shared" si="38"/>
        <v>0</v>
      </c>
      <c r="BA32" s="35">
        <f t="shared" si="39"/>
        <v>0</v>
      </c>
      <c r="BB32" s="35">
        <f t="shared" si="10"/>
        <v>0</v>
      </c>
      <c r="BC32" s="35">
        <f t="shared" si="11"/>
        <v>0</v>
      </c>
      <c r="BD32" s="35">
        <f t="shared" si="12"/>
        <v>0</v>
      </c>
      <c r="BE32" s="35">
        <f t="shared" si="13"/>
        <v>0</v>
      </c>
      <c r="BF32" s="35">
        <f t="shared" si="14"/>
        <v>0</v>
      </c>
      <c r="BG32" s="35">
        <f t="shared" si="15"/>
        <v>0</v>
      </c>
      <c r="BH32" s="35">
        <f t="shared" si="16"/>
        <v>0</v>
      </c>
      <c r="BI32" s="35">
        <f t="shared" si="17"/>
        <v>0</v>
      </c>
      <c r="BJ32" s="35">
        <f t="shared" si="18"/>
        <v>0</v>
      </c>
      <c r="BK32" s="35">
        <f t="shared" si="40"/>
        <v>0</v>
      </c>
      <c r="BM32" s="35">
        <f t="shared" si="41"/>
        <v>0</v>
      </c>
      <c r="BN32" s="35">
        <f t="shared" si="42"/>
        <v>0</v>
      </c>
      <c r="BO32" s="35" t="e">
        <f t="shared" si="54"/>
        <v>#N/A</v>
      </c>
      <c r="BP32" s="35" t="e">
        <f t="shared" si="19"/>
        <v>#N/A</v>
      </c>
      <c r="BQ32" s="47">
        <f t="shared" si="20"/>
        <v>0</v>
      </c>
      <c r="BS32" s="159">
        <f t="shared" si="59"/>
        <v>6</v>
      </c>
      <c r="BT32" s="159">
        <f t="shared" si="59"/>
        <v>5</v>
      </c>
      <c r="BU32" s="166">
        <f t="shared" si="43"/>
        <v>2.4350000000000001</v>
      </c>
      <c r="BV32" s="167">
        <f t="shared" ref="BV32" si="72">INDEX(N$17:N$42,BS32)</f>
        <v>-0.34499999999999997</v>
      </c>
    </row>
    <row r="33" spans="1:74" ht="36" customHeight="1" x14ac:dyDescent="0.45">
      <c r="A33" s="178">
        <v>17</v>
      </c>
      <c r="B33" s="179"/>
      <c r="C33" s="179"/>
      <c r="D33" s="179"/>
      <c r="E33" s="179"/>
      <c r="F33" s="179"/>
      <c r="H33" s="113" t="str">
        <f t="shared" si="65"/>
        <v/>
      </c>
      <c r="I33" s="113" t="str">
        <f t="shared" si="66"/>
        <v/>
      </c>
      <c r="J33" s="114" t="str">
        <f t="shared" si="67"/>
        <v/>
      </c>
      <c r="K33" s="113" t="str">
        <f t="shared" si="68"/>
        <v/>
      </c>
      <c r="L33" s="163" t="str">
        <f t="shared" si="69"/>
        <v/>
      </c>
      <c r="M33" s="115">
        <f t="shared" si="70"/>
        <v>0</v>
      </c>
      <c r="N33" s="116" t="str">
        <f t="shared" si="71"/>
        <v/>
      </c>
      <c r="O33" s="38"/>
      <c r="P33" s="38">
        <f t="shared" si="25"/>
        <v>1.9952000000000014</v>
      </c>
      <c r="Q33" s="38">
        <f t="shared" si="3"/>
        <v>0.16127971477697994</v>
      </c>
      <c r="R33" s="38"/>
      <c r="S33" s="38"/>
      <c r="T33" s="38">
        <f t="shared" si="26"/>
        <v>3.4847999999999986</v>
      </c>
      <c r="U33" s="38">
        <f t="shared" si="4"/>
        <v>0.1868492006952254</v>
      </c>
      <c r="V33" s="38"/>
      <c r="W33" s="38" t="e">
        <f t="shared" si="46"/>
        <v>#N/A</v>
      </c>
      <c r="X33" s="38"/>
      <c r="Y33" s="58"/>
      <c r="Z33" s="38"/>
      <c r="AA33" s="58"/>
      <c r="AB33" s="38"/>
      <c r="AC33" s="75">
        <f t="shared" si="27"/>
        <v>0</v>
      </c>
      <c r="AD33" s="117" t="e">
        <f t="shared" si="28"/>
        <v>#N/A</v>
      </c>
      <c r="AE33" s="117" t="e">
        <f t="shared" si="29"/>
        <v>#N/A</v>
      </c>
      <c r="AF33" s="117" t="e">
        <f t="shared" si="30"/>
        <v>#N/A</v>
      </c>
      <c r="AG33" s="118">
        <f t="shared" si="31"/>
        <v>0</v>
      </c>
      <c r="AH33" s="118" t="e">
        <f t="shared" si="32"/>
        <v>#N/A</v>
      </c>
      <c r="AI33" s="118" t="e">
        <f t="shared" si="33"/>
        <v>#N/A</v>
      </c>
      <c r="AJ33" s="164">
        <f t="shared" si="47"/>
        <v>0</v>
      </c>
      <c r="AL33" s="75">
        <f t="shared" si="6"/>
        <v>0</v>
      </c>
      <c r="AM33" s="75">
        <f t="shared" si="48"/>
        <v>0</v>
      </c>
      <c r="AN33" s="75">
        <f t="shared" si="49"/>
        <v>0</v>
      </c>
      <c r="AO33" s="75">
        <f t="shared" si="50"/>
        <v>0</v>
      </c>
      <c r="AP33" s="165">
        <f t="shared" si="34"/>
        <v>0</v>
      </c>
      <c r="AQ33" s="75">
        <f t="shared" si="51"/>
        <v>0</v>
      </c>
      <c r="AR33" s="75">
        <f t="shared" si="52"/>
        <v>0</v>
      </c>
      <c r="AS33" s="75">
        <f t="shared" ref="AS33:AS39" si="73">IF(AP33=0,0,IF(ISBLANK(D32),$AA$11/I32,$AA$11/I33))</f>
        <v>0</v>
      </c>
      <c r="AT33" s="120">
        <f t="shared" si="35"/>
        <v>0</v>
      </c>
      <c r="AU33" s="87">
        <f t="shared" si="36"/>
        <v>0</v>
      </c>
      <c r="AV33" s="75">
        <f t="shared" si="7"/>
        <v>0</v>
      </c>
      <c r="AW33" s="75">
        <f t="shared" si="8"/>
        <v>0</v>
      </c>
      <c r="AX33" s="75">
        <f t="shared" si="9"/>
        <v>0</v>
      </c>
      <c r="AY33" s="75">
        <f t="shared" si="37"/>
        <v>0</v>
      </c>
      <c r="AZ33" s="76">
        <f t="shared" si="38"/>
        <v>0</v>
      </c>
      <c r="BA33" s="35">
        <f t="shared" si="39"/>
        <v>0</v>
      </c>
      <c r="BB33" s="35">
        <f t="shared" si="10"/>
        <v>0</v>
      </c>
      <c r="BC33" s="35">
        <f t="shared" si="11"/>
        <v>0</v>
      </c>
      <c r="BD33" s="35">
        <f t="shared" si="12"/>
        <v>0</v>
      </c>
      <c r="BE33" s="35">
        <f t="shared" si="13"/>
        <v>0</v>
      </c>
      <c r="BF33" s="35">
        <f t="shared" si="14"/>
        <v>0</v>
      </c>
      <c r="BG33" s="35">
        <f t="shared" si="15"/>
        <v>0</v>
      </c>
      <c r="BH33" s="35">
        <f t="shared" si="16"/>
        <v>0</v>
      </c>
      <c r="BI33" s="35">
        <f t="shared" si="17"/>
        <v>0</v>
      </c>
      <c r="BJ33" s="35">
        <f t="shared" si="18"/>
        <v>0</v>
      </c>
      <c r="BK33" s="35">
        <f t="shared" si="40"/>
        <v>0</v>
      </c>
      <c r="BM33" s="35">
        <f t="shared" si="41"/>
        <v>0</v>
      </c>
      <c r="BN33" s="35">
        <f t="shared" si="42"/>
        <v>0</v>
      </c>
      <c r="BO33" s="35" t="e">
        <f t="shared" si="54"/>
        <v>#N/A</v>
      </c>
      <c r="BP33" s="35" t="e">
        <f t="shared" si="19"/>
        <v>#N/A</v>
      </c>
      <c r="BQ33" s="47">
        <f t="shared" si="20"/>
        <v>0</v>
      </c>
      <c r="BS33" s="159">
        <f t="shared" si="59"/>
        <v>6</v>
      </c>
      <c r="BT33" s="159">
        <f t="shared" si="59"/>
        <v>7</v>
      </c>
      <c r="BU33" s="166">
        <f t="shared" si="43"/>
        <v>2.5449999999999999</v>
      </c>
      <c r="BV33" s="167">
        <f t="shared" si="44"/>
        <v>-0.34499999999999997</v>
      </c>
    </row>
    <row r="34" spans="1:74" ht="36" customHeight="1" x14ac:dyDescent="0.45">
      <c r="A34" s="180">
        <v>18</v>
      </c>
      <c r="B34" s="181"/>
      <c r="C34" s="181"/>
      <c r="D34" s="181"/>
      <c r="E34" s="181"/>
      <c r="F34" s="181"/>
      <c r="H34" s="113" t="str">
        <f t="shared" si="65"/>
        <v/>
      </c>
      <c r="I34" s="113" t="str">
        <f t="shared" si="66"/>
        <v/>
      </c>
      <c r="J34" s="114" t="str">
        <f t="shared" si="67"/>
        <v/>
      </c>
      <c r="K34" s="113" t="str">
        <f t="shared" si="68"/>
        <v/>
      </c>
      <c r="L34" s="163" t="str">
        <f t="shared" si="69"/>
        <v/>
      </c>
      <c r="M34" s="115">
        <f t="shared" si="70"/>
        <v>0</v>
      </c>
      <c r="N34" s="116" t="str">
        <f t="shared" si="71"/>
        <v/>
      </c>
      <c r="O34" s="38"/>
      <c r="P34" s="38">
        <f t="shared" si="25"/>
        <v>2.0024000000000015</v>
      </c>
      <c r="Q34" s="38">
        <f t="shared" si="3"/>
        <v>0.16616812960595151</v>
      </c>
      <c r="R34" s="38"/>
      <c r="S34" s="38"/>
      <c r="T34" s="38">
        <f t="shared" si="26"/>
        <v>3.4775999999999985</v>
      </c>
      <c r="U34" s="38">
        <f t="shared" si="4"/>
        <v>0.18870236824536021</v>
      </c>
      <c r="V34" s="38"/>
      <c r="W34" s="38" t="e">
        <f t="shared" si="46"/>
        <v>#N/A</v>
      </c>
      <c r="X34" s="38"/>
      <c r="Y34" s="58"/>
      <c r="Z34" s="38"/>
      <c r="AA34" s="58"/>
      <c r="AB34" s="38"/>
      <c r="AC34" s="75">
        <f t="shared" si="27"/>
        <v>0</v>
      </c>
      <c r="AD34" s="117" t="e">
        <f t="shared" si="28"/>
        <v>#N/A</v>
      </c>
      <c r="AE34" s="117" t="e">
        <f t="shared" si="29"/>
        <v>#N/A</v>
      </c>
      <c r="AF34" s="117" t="e">
        <f t="shared" si="30"/>
        <v>#N/A</v>
      </c>
      <c r="AG34" s="118">
        <f t="shared" si="31"/>
        <v>0</v>
      </c>
      <c r="AH34" s="118" t="e">
        <f t="shared" si="32"/>
        <v>#N/A</v>
      </c>
      <c r="AI34" s="118" t="e">
        <f t="shared" si="33"/>
        <v>#N/A</v>
      </c>
      <c r="AJ34" s="164">
        <f t="shared" si="47"/>
        <v>0</v>
      </c>
      <c r="AL34" s="75">
        <f t="shared" si="6"/>
        <v>0</v>
      </c>
      <c r="AM34" s="75">
        <f t="shared" si="48"/>
        <v>0</v>
      </c>
      <c r="AN34" s="75">
        <f t="shared" si="49"/>
        <v>0</v>
      </c>
      <c r="AO34" s="75">
        <f t="shared" si="50"/>
        <v>0</v>
      </c>
      <c r="AP34" s="165">
        <f t="shared" si="34"/>
        <v>0</v>
      </c>
      <c r="AQ34" s="75">
        <f t="shared" si="51"/>
        <v>0</v>
      </c>
      <c r="AR34" s="75">
        <f t="shared" si="52"/>
        <v>0</v>
      </c>
      <c r="AS34" s="75">
        <f t="shared" si="73"/>
        <v>0</v>
      </c>
      <c r="AT34" s="120">
        <f t="shared" si="35"/>
        <v>0</v>
      </c>
      <c r="AU34" s="87">
        <f t="shared" si="36"/>
        <v>0</v>
      </c>
      <c r="AV34" s="75">
        <f t="shared" si="7"/>
        <v>0</v>
      </c>
      <c r="AW34" s="75">
        <f t="shared" si="8"/>
        <v>0</v>
      </c>
      <c r="AX34" s="75">
        <f t="shared" si="9"/>
        <v>0</v>
      </c>
      <c r="AY34" s="75">
        <f t="shared" si="37"/>
        <v>0</v>
      </c>
      <c r="AZ34" s="76">
        <f t="shared" si="38"/>
        <v>0</v>
      </c>
      <c r="BA34" s="35">
        <f t="shared" si="39"/>
        <v>0</v>
      </c>
      <c r="BB34" s="35">
        <f t="shared" si="10"/>
        <v>0</v>
      </c>
      <c r="BC34" s="35">
        <f t="shared" si="11"/>
        <v>0</v>
      </c>
      <c r="BD34" s="35">
        <f t="shared" si="12"/>
        <v>0</v>
      </c>
      <c r="BE34" s="35">
        <f t="shared" si="13"/>
        <v>0</v>
      </c>
      <c r="BF34" s="35">
        <f t="shared" si="14"/>
        <v>0</v>
      </c>
      <c r="BG34" s="35">
        <f t="shared" si="15"/>
        <v>0</v>
      </c>
      <c r="BH34" s="35">
        <f t="shared" si="16"/>
        <v>0</v>
      </c>
      <c r="BI34" s="35">
        <f t="shared" si="17"/>
        <v>0</v>
      </c>
      <c r="BJ34" s="35">
        <f t="shared" si="18"/>
        <v>0</v>
      </c>
      <c r="BK34" s="35">
        <f t="shared" si="40"/>
        <v>0</v>
      </c>
      <c r="BM34" s="35">
        <f t="shared" si="41"/>
        <v>0</v>
      </c>
      <c r="BN34" s="35">
        <f t="shared" si="42"/>
        <v>0</v>
      </c>
      <c r="BO34" s="35" t="e">
        <f t="shared" si="54"/>
        <v>#N/A</v>
      </c>
      <c r="BP34" s="35" t="e">
        <f t="shared" si="19"/>
        <v>#N/A</v>
      </c>
      <c r="BQ34" s="47">
        <f t="shared" si="20"/>
        <v>0</v>
      </c>
      <c r="BS34" s="159">
        <f t="shared" si="59"/>
        <v>6</v>
      </c>
      <c r="BT34" s="159">
        <f t="shared" si="59"/>
        <v>7</v>
      </c>
      <c r="BU34" s="166">
        <f t="shared" si="43"/>
        <v>2.5449999999999999</v>
      </c>
      <c r="BV34" s="167">
        <f t="shared" ref="BV34" si="74">IF(ISBLANK(INDEX(B$17:B$42,BS34)),BV33,$BV$15)</f>
        <v>0</v>
      </c>
    </row>
    <row r="35" spans="1:74" ht="36" customHeight="1" x14ac:dyDescent="0.45">
      <c r="A35" s="178">
        <v>19</v>
      </c>
      <c r="B35" s="179"/>
      <c r="C35" s="179"/>
      <c r="D35" s="179"/>
      <c r="E35" s="179"/>
      <c r="F35" s="179"/>
      <c r="H35" s="113" t="str">
        <f t="shared" si="65"/>
        <v/>
      </c>
      <c r="I35" s="113" t="str">
        <f t="shared" si="66"/>
        <v/>
      </c>
      <c r="J35" s="114" t="str">
        <f t="shared" si="67"/>
        <v/>
      </c>
      <c r="K35" s="113" t="str">
        <f t="shared" si="68"/>
        <v/>
      </c>
      <c r="L35" s="163" t="str">
        <f t="shared" si="69"/>
        <v/>
      </c>
      <c r="M35" s="115">
        <f t="shared" si="70"/>
        <v>0</v>
      </c>
      <c r="N35" s="116" t="str">
        <f t="shared" si="71"/>
        <v/>
      </c>
      <c r="O35" s="38"/>
      <c r="P35" s="38">
        <f t="shared" si="25"/>
        <v>2.0096000000000016</v>
      </c>
      <c r="Q35" s="38">
        <f t="shared" si="3"/>
        <v>0.17091267547603772</v>
      </c>
      <c r="R35" s="38"/>
      <c r="S35" s="38"/>
      <c r="T35" s="38">
        <f t="shared" si="26"/>
        <v>3.4703999999999984</v>
      </c>
      <c r="U35" s="38">
        <f t="shared" si="4"/>
        <v>0.19046641135656187</v>
      </c>
      <c r="V35" s="38"/>
      <c r="W35" s="38" t="e">
        <f t="shared" si="46"/>
        <v>#N/A</v>
      </c>
      <c r="X35" s="38"/>
      <c r="Y35" s="58"/>
      <c r="Z35" s="38"/>
      <c r="AA35" s="58"/>
      <c r="AB35" s="38"/>
      <c r="AC35" s="75">
        <f t="shared" si="27"/>
        <v>0</v>
      </c>
      <c r="AD35" s="117" t="e">
        <f t="shared" si="28"/>
        <v>#N/A</v>
      </c>
      <c r="AE35" s="117" t="e">
        <f t="shared" si="29"/>
        <v>#N/A</v>
      </c>
      <c r="AF35" s="117" t="e">
        <f t="shared" si="30"/>
        <v>#N/A</v>
      </c>
      <c r="AG35" s="118">
        <f t="shared" si="31"/>
        <v>0</v>
      </c>
      <c r="AH35" s="118" t="e">
        <f t="shared" si="32"/>
        <v>#N/A</v>
      </c>
      <c r="AI35" s="118" t="e">
        <f t="shared" si="33"/>
        <v>#N/A</v>
      </c>
      <c r="AJ35" s="164">
        <f t="shared" si="47"/>
        <v>0</v>
      </c>
      <c r="AL35" s="75">
        <f t="shared" si="6"/>
        <v>0</v>
      </c>
      <c r="AM35" s="75">
        <f t="shared" si="48"/>
        <v>0</v>
      </c>
      <c r="AN35" s="75">
        <f t="shared" si="49"/>
        <v>0</v>
      </c>
      <c r="AO35" s="75">
        <f t="shared" si="50"/>
        <v>0</v>
      </c>
      <c r="AP35" s="165">
        <f t="shared" si="34"/>
        <v>0</v>
      </c>
      <c r="AQ35" s="75">
        <f t="shared" si="51"/>
        <v>0</v>
      </c>
      <c r="AR35" s="75">
        <f t="shared" si="52"/>
        <v>0</v>
      </c>
      <c r="AS35" s="75">
        <f t="shared" si="73"/>
        <v>0</v>
      </c>
      <c r="AT35" s="120">
        <f t="shared" si="35"/>
        <v>0</v>
      </c>
      <c r="AU35" s="87">
        <f t="shared" si="36"/>
        <v>0</v>
      </c>
      <c r="AV35" s="75">
        <f t="shared" si="7"/>
        <v>0</v>
      </c>
      <c r="AW35" s="75">
        <f t="shared" si="8"/>
        <v>0</v>
      </c>
      <c r="AX35" s="75">
        <f t="shared" si="9"/>
        <v>0</v>
      </c>
      <c r="AY35" s="75">
        <f t="shared" si="37"/>
        <v>0</v>
      </c>
      <c r="AZ35" s="76">
        <f t="shared" si="38"/>
        <v>0</v>
      </c>
      <c r="BA35" s="35">
        <f t="shared" si="39"/>
        <v>0</v>
      </c>
      <c r="BB35" s="35">
        <f t="shared" si="10"/>
        <v>0</v>
      </c>
      <c r="BC35" s="35">
        <f t="shared" si="11"/>
        <v>0</v>
      </c>
      <c r="BD35" s="35">
        <f t="shared" si="12"/>
        <v>0</v>
      </c>
      <c r="BE35" s="35">
        <f t="shared" si="13"/>
        <v>0</v>
      </c>
      <c r="BF35" s="35">
        <f t="shared" si="14"/>
        <v>0</v>
      </c>
      <c r="BG35" s="35">
        <f t="shared" si="15"/>
        <v>0</v>
      </c>
      <c r="BH35" s="35">
        <f t="shared" si="16"/>
        <v>0</v>
      </c>
      <c r="BI35" s="35">
        <f t="shared" si="17"/>
        <v>0</v>
      </c>
      <c r="BJ35" s="35">
        <f t="shared" si="18"/>
        <v>0</v>
      </c>
      <c r="BK35" s="35">
        <f t="shared" si="40"/>
        <v>0</v>
      </c>
      <c r="BM35" s="35">
        <f t="shared" si="41"/>
        <v>0</v>
      </c>
      <c r="BN35" s="35">
        <f t="shared" si="42"/>
        <v>0</v>
      </c>
      <c r="BO35" s="35" t="e">
        <f t="shared" si="54"/>
        <v>#N/A</v>
      </c>
      <c r="BP35" s="35" t="e">
        <f t="shared" si="19"/>
        <v>#N/A</v>
      </c>
      <c r="BQ35" s="47">
        <f t="shared" si="20"/>
        <v>0</v>
      </c>
      <c r="BS35" s="159">
        <f t="shared" si="59"/>
        <v>7</v>
      </c>
      <c r="BT35" s="159">
        <f t="shared" si="59"/>
        <v>6</v>
      </c>
      <c r="BU35" s="166">
        <f t="shared" si="43"/>
        <v>2.5449999999999999</v>
      </c>
      <c r="BV35" s="167">
        <f t="shared" ref="BV35" si="75">INDEX(N$17:N$42,BS35)</f>
        <v>-0.34499999999999997</v>
      </c>
    </row>
    <row r="36" spans="1:74" ht="36" customHeight="1" x14ac:dyDescent="0.45">
      <c r="A36" s="180">
        <v>20</v>
      </c>
      <c r="B36" s="181"/>
      <c r="C36" s="181"/>
      <c r="D36" s="181"/>
      <c r="E36" s="181"/>
      <c r="F36" s="181"/>
      <c r="H36" s="113" t="str">
        <f t="shared" si="65"/>
        <v/>
      </c>
      <c r="I36" s="113" t="str">
        <f t="shared" si="66"/>
        <v/>
      </c>
      <c r="J36" s="114" t="str">
        <f t="shared" si="67"/>
        <v/>
      </c>
      <c r="K36" s="113" t="str">
        <f t="shared" si="68"/>
        <v/>
      </c>
      <c r="L36" s="163" t="str">
        <f t="shared" si="69"/>
        <v/>
      </c>
      <c r="M36" s="115">
        <f t="shared" si="70"/>
        <v>0</v>
      </c>
      <c r="N36" s="116" t="str">
        <f t="shared" si="71"/>
        <v/>
      </c>
      <c r="O36" s="38"/>
      <c r="P36" s="38">
        <f t="shared" si="25"/>
        <v>2.0168000000000017</v>
      </c>
      <c r="Q36" s="38">
        <f t="shared" si="3"/>
        <v>0.175525245268559</v>
      </c>
      <c r="R36" s="38"/>
      <c r="S36" s="38"/>
      <c r="T36" s="38">
        <f t="shared" si="26"/>
        <v>3.4631999999999983</v>
      </c>
      <c r="U36" s="38">
        <f t="shared" si="4"/>
        <v>0.19215022757176609</v>
      </c>
      <c r="V36" s="38"/>
      <c r="W36" s="38" t="e">
        <f t="shared" si="46"/>
        <v>#N/A</v>
      </c>
      <c r="X36" s="38"/>
      <c r="Y36" s="58"/>
      <c r="Z36" s="38"/>
      <c r="AA36" s="58"/>
      <c r="AB36" s="38"/>
      <c r="AC36" s="75">
        <f t="shared" si="27"/>
        <v>0</v>
      </c>
      <c r="AD36" s="117" t="e">
        <f t="shared" si="28"/>
        <v>#N/A</v>
      </c>
      <c r="AE36" s="117" t="e">
        <f t="shared" si="29"/>
        <v>#N/A</v>
      </c>
      <c r="AF36" s="117" t="e">
        <f t="shared" si="30"/>
        <v>#N/A</v>
      </c>
      <c r="AG36" s="118">
        <f t="shared" si="31"/>
        <v>0</v>
      </c>
      <c r="AH36" s="118" t="e">
        <f t="shared" si="32"/>
        <v>#N/A</v>
      </c>
      <c r="AI36" s="118" t="e">
        <f t="shared" si="33"/>
        <v>#N/A</v>
      </c>
      <c r="AJ36" s="164">
        <f t="shared" si="47"/>
        <v>0</v>
      </c>
      <c r="AL36" s="75">
        <f t="shared" si="6"/>
        <v>0</v>
      </c>
      <c r="AM36" s="75">
        <f t="shared" si="48"/>
        <v>0</v>
      </c>
      <c r="AN36" s="75">
        <f t="shared" si="49"/>
        <v>0</v>
      </c>
      <c r="AO36" s="75">
        <f t="shared" si="50"/>
        <v>0</v>
      </c>
      <c r="AP36" s="165">
        <f t="shared" si="34"/>
        <v>0</v>
      </c>
      <c r="AQ36" s="75">
        <f t="shared" si="51"/>
        <v>0</v>
      </c>
      <c r="AR36" s="75">
        <f t="shared" si="52"/>
        <v>0</v>
      </c>
      <c r="AS36" s="75">
        <f t="shared" si="73"/>
        <v>0</v>
      </c>
      <c r="AT36" s="120">
        <f t="shared" si="35"/>
        <v>0</v>
      </c>
      <c r="AU36" s="87">
        <f t="shared" si="36"/>
        <v>0</v>
      </c>
      <c r="AV36" s="75">
        <f t="shared" si="7"/>
        <v>0</v>
      </c>
      <c r="AW36" s="75">
        <f t="shared" si="8"/>
        <v>0</v>
      </c>
      <c r="AX36" s="75">
        <f t="shared" si="9"/>
        <v>0</v>
      </c>
      <c r="AY36" s="75">
        <f t="shared" si="37"/>
        <v>0</v>
      </c>
      <c r="AZ36" s="76">
        <f t="shared" si="38"/>
        <v>0</v>
      </c>
      <c r="BA36" s="35">
        <f t="shared" si="39"/>
        <v>0</v>
      </c>
      <c r="BB36" s="35">
        <f t="shared" si="10"/>
        <v>0</v>
      </c>
      <c r="BC36" s="35">
        <f t="shared" si="11"/>
        <v>0</v>
      </c>
      <c r="BD36" s="35">
        <f t="shared" si="12"/>
        <v>0</v>
      </c>
      <c r="BE36" s="35">
        <f t="shared" si="13"/>
        <v>0</v>
      </c>
      <c r="BF36" s="35">
        <f t="shared" si="14"/>
        <v>0</v>
      </c>
      <c r="BG36" s="35">
        <f t="shared" si="15"/>
        <v>0</v>
      </c>
      <c r="BH36" s="35">
        <f t="shared" si="16"/>
        <v>0</v>
      </c>
      <c r="BI36" s="35">
        <f t="shared" si="17"/>
        <v>0</v>
      </c>
      <c r="BJ36" s="35">
        <f t="shared" si="18"/>
        <v>0</v>
      </c>
      <c r="BK36" s="35">
        <f t="shared" si="40"/>
        <v>0</v>
      </c>
      <c r="BM36" s="35">
        <f t="shared" si="41"/>
        <v>0</v>
      </c>
      <c r="BN36" s="35">
        <f t="shared" si="42"/>
        <v>0</v>
      </c>
      <c r="BO36" s="35" t="e">
        <f t="shared" si="54"/>
        <v>#N/A</v>
      </c>
      <c r="BP36" s="35" t="e">
        <f t="shared" si="19"/>
        <v>#N/A</v>
      </c>
      <c r="BQ36" s="47">
        <f t="shared" si="20"/>
        <v>0</v>
      </c>
      <c r="BS36" s="159">
        <f t="shared" si="59"/>
        <v>7</v>
      </c>
      <c r="BT36" s="159">
        <f t="shared" si="59"/>
        <v>8</v>
      </c>
      <c r="BU36" s="166">
        <f t="shared" si="43"/>
        <v>2.6550000000000002</v>
      </c>
      <c r="BV36" s="167">
        <f t="shared" si="44"/>
        <v>-0.34499999999999997</v>
      </c>
    </row>
    <row r="37" spans="1:74" ht="36" customHeight="1" x14ac:dyDescent="0.45">
      <c r="A37" s="178">
        <v>21</v>
      </c>
      <c r="B37" s="179"/>
      <c r="C37" s="179"/>
      <c r="D37" s="179"/>
      <c r="E37" s="179"/>
      <c r="F37" s="179"/>
      <c r="H37" s="113" t="str">
        <f t="shared" si="65"/>
        <v/>
      </c>
      <c r="I37" s="113" t="str">
        <f t="shared" si="66"/>
        <v/>
      </c>
      <c r="J37" s="114" t="str">
        <f t="shared" si="67"/>
        <v/>
      </c>
      <c r="K37" s="113" t="str">
        <f t="shared" si="68"/>
        <v/>
      </c>
      <c r="L37" s="163" t="str">
        <f t="shared" si="69"/>
        <v/>
      </c>
      <c r="M37" s="115">
        <f t="shared" si="70"/>
        <v>0</v>
      </c>
      <c r="N37" s="116" t="str">
        <f t="shared" si="71"/>
        <v/>
      </c>
      <c r="O37" s="38"/>
      <c r="P37" s="38">
        <f t="shared" si="25"/>
        <v>2.0240000000000018</v>
      </c>
      <c r="Q37" s="38">
        <f t="shared" si="3"/>
        <v>0.18001618106576056</v>
      </c>
      <c r="R37" s="38"/>
      <c r="S37" s="38"/>
      <c r="T37" s="38">
        <f t="shared" si="26"/>
        <v>3.4559999999999982</v>
      </c>
      <c r="U37" s="38">
        <f t="shared" si="4"/>
        <v>0.1937614130443398</v>
      </c>
      <c r="V37" s="38"/>
      <c r="W37" s="38" t="e">
        <f t="shared" si="46"/>
        <v>#N/A</v>
      </c>
      <c r="X37" s="38"/>
      <c r="Y37" s="58"/>
      <c r="Z37" s="38"/>
      <c r="AA37" s="58"/>
      <c r="AB37" s="38"/>
      <c r="AC37" s="75">
        <f t="shared" si="27"/>
        <v>0</v>
      </c>
      <c r="AD37" s="117" t="e">
        <f t="shared" si="28"/>
        <v>#N/A</v>
      </c>
      <c r="AE37" s="117" t="e">
        <f t="shared" si="29"/>
        <v>#N/A</v>
      </c>
      <c r="AF37" s="117" t="e">
        <f t="shared" si="30"/>
        <v>#N/A</v>
      </c>
      <c r="AG37" s="118">
        <f t="shared" si="31"/>
        <v>0</v>
      </c>
      <c r="AH37" s="118" t="e">
        <f t="shared" si="32"/>
        <v>#N/A</v>
      </c>
      <c r="AI37" s="118" t="e">
        <f t="shared" si="33"/>
        <v>#N/A</v>
      </c>
      <c r="AJ37" s="164">
        <f t="shared" si="47"/>
        <v>0</v>
      </c>
      <c r="AL37" s="75">
        <f t="shared" si="6"/>
        <v>0</v>
      </c>
      <c r="AM37" s="75">
        <f t="shared" si="48"/>
        <v>0</v>
      </c>
      <c r="AN37" s="75">
        <f t="shared" si="49"/>
        <v>0</v>
      </c>
      <c r="AO37" s="75">
        <f t="shared" si="50"/>
        <v>0</v>
      </c>
      <c r="AP37" s="165">
        <f t="shared" si="34"/>
        <v>0</v>
      </c>
      <c r="AQ37" s="75">
        <f t="shared" si="51"/>
        <v>0</v>
      </c>
      <c r="AR37" s="75">
        <f t="shared" si="52"/>
        <v>0</v>
      </c>
      <c r="AS37" s="75">
        <f t="shared" si="73"/>
        <v>0</v>
      </c>
      <c r="AT37" s="120">
        <f t="shared" si="35"/>
        <v>0</v>
      </c>
      <c r="AU37" s="87">
        <f t="shared" si="36"/>
        <v>0</v>
      </c>
      <c r="AV37" s="75">
        <f t="shared" si="7"/>
        <v>0</v>
      </c>
      <c r="AW37" s="75">
        <f t="shared" si="8"/>
        <v>0</v>
      </c>
      <c r="AX37" s="75">
        <f t="shared" si="9"/>
        <v>0</v>
      </c>
      <c r="AY37" s="75">
        <f t="shared" si="37"/>
        <v>0</v>
      </c>
      <c r="AZ37" s="76">
        <f t="shared" si="38"/>
        <v>0</v>
      </c>
      <c r="BA37" s="35">
        <f t="shared" si="39"/>
        <v>0</v>
      </c>
      <c r="BB37" s="35">
        <f t="shared" si="10"/>
        <v>0</v>
      </c>
      <c r="BC37" s="35">
        <f t="shared" si="11"/>
        <v>0</v>
      </c>
      <c r="BD37" s="35">
        <f t="shared" si="12"/>
        <v>0</v>
      </c>
      <c r="BE37" s="35">
        <f t="shared" si="13"/>
        <v>0</v>
      </c>
      <c r="BF37" s="35">
        <f t="shared" si="14"/>
        <v>0</v>
      </c>
      <c r="BG37" s="35">
        <f t="shared" si="15"/>
        <v>0</v>
      </c>
      <c r="BH37" s="35">
        <f t="shared" si="16"/>
        <v>0</v>
      </c>
      <c r="BI37" s="35">
        <f t="shared" si="17"/>
        <v>0</v>
      </c>
      <c r="BJ37" s="35">
        <f t="shared" si="18"/>
        <v>0</v>
      </c>
      <c r="BK37" s="35">
        <f t="shared" si="40"/>
        <v>0</v>
      </c>
      <c r="BM37" s="35">
        <f t="shared" si="41"/>
        <v>0</v>
      </c>
      <c r="BN37" s="35">
        <f t="shared" si="42"/>
        <v>0</v>
      </c>
      <c r="BO37" s="35" t="e">
        <f t="shared" si="54"/>
        <v>#N/A</v>
      </c>
      <c r="BP37" s="35" t="e">
        <f t="shared" si="19"/>
        <v>#N/A</v>
      </c>
      <c r="BQ37" s="47">
        <f t="shared" si="20"/>
        <v>0</v>
      </c>
      <c r="BS37" s="159">
        <f t="shared" si="59"/>
        <v>7</v>
      </c>
      <c r="BT37" s="159">
        <f t="shared" si="59"/>
        <v>8</v>
      </c>
      <c r="BU37" s="166">
        <f t="shared" si="43"/>
        <v>2.6550000000000002</v>
      </c>
      <c r="BV37" s="167">
        <f t="shared" ref="BV37" si="76">IF(ISBLANK(INDEX(B$17:B$42,BS37)),BV36,$BV$15)</f>
        <v>0</v>
      </c>
    </row>
    <row r="38" spans="1:74" ht="36" customHeight="1" x14ac:dyDescent="0.45">
      <c r="A38" s="180">
        <v>22</v>
      </c>
      <c r="B38" s="181"/>
      <c r="C38" s="181"/>
      <c r="D38" s="181"/>
      <c r="E38" s="181"/>
      <c r="F38" s="181"/>
      <c r="H38" s="113" t="str">
        <f t="shared" si="65"/>
        <v/>
      </c>
      <c r="I38" s="113" t="str">
        <f t="shared" si="66"/>
        <v/>
      </c>
      <c r="J38" s="114" t="str">
        <f t="shared" si="67"/>
        <v/>
      </c>
      <c r="K38" s="113" t="str">
        <f t="shared" si="68"/>
        <v/>
      </c>
      <c r="L38" s="163" t="str">
        <f t="shared" si="69"/>
        <v/>
      </c>
      <c r="M38" s="115">
        <f t="shared" si="70"/>
        <v>0</v>
      </c>
      <c r="N38" s="116" t="str">
        <f t="shared" si="71"/>
        <v/>
      </c>
      <c r="O38" s="38"/>
      <c r="P38" s="38">
        <f t="shared" si="25"/>
        <v>2.0312000000000019</v>
      </c>
      <c r="Q38" s="38">
        <f t="shared" si="3"/>
        <v>0.18439454311663661</v>
      </c>
      <c r="R38" s="38"/>
      <c r="S38" s="38"/>
      <c r="T38" s="38">
        <f t="shared" si="26"/>
        <v>3.4487999999999981</v>
      </c>
      <c r="U38" s="38">
        <f t="shared" si="4"/>
        <v>0.19530650740989081</v>
      </c>
      <c r="V38" s="38"/>
      <c r="W38" s="38" t="e">
        <f t="shared" si="46"/>
        <v>#N/A</v>
      </c>
      <c r="X38" s="38"/>
      <c r="Y38" s="58"/>
      <c r="Z38" s="38"/>
      <c r="AA38" s="58"/>
      <c r="AB38" s="38"/>
      <c r="AC38" s="75">
        <f t="shared" si="27"/>
        <v>0</v>
      </c>
      <c r="AD38" s="117" t="e">
        <f t="shared" si="28"/>
        <v>#N/A</v>
      </c>
      <c r="AE38" s="117" t="e">
        <f t="shared" si="29"/>
        <v>#N/A</v>
      </c>
      <c r="AF38" s="117" t="e">
        <f t="shared" si="30"/>
        <v>#N/A</v>
      </c>
      <c r="AG38" s="118">
        <f t="shared" si="31"/>
        <v>0</v>
      </c>
      <c r="AH38" s="118" t="e">
        <f t="shared" si="32"/>
        <v>#N/A</v>
      </c>
      <c r="AI38" s="118" t="e">
        <f t="shared" si="33"/>
        <v>#N/A</v>
      </c>
      <c r="AJ38" s="164">
        <f t="shared" si="47"/>
        <v>0</v>
      </c>
      <c r="AL38" s="75">
        <f t="shared" si="6"/>
        <v>0</v>
      </c>
      <c r="AM38" s="75">
        <f t="shared" si="48"/>
        <v>0</v>
      </c>
      <c r="AN38" s="75">
        <f t="shared" si="49"/>
        <v>0</v>
      </c>
      <c r="AO38" s="75">
        <f t="shared" si="50"/>
        <v>0</v>
      </c>
      <c r="AP38" s="165">
        <f t="shared" si="34"/>
        <v>0</v>
      </c>
      <c r="AQ38" s="75">
        <f t="shared" si="51"/>
        <v>0</v>
      </c>
      <c r="AR38" s="75">
        <f t="shared" si="52"/>
        <v>0</v>
      </c>
      <c r="AS38" s="75">
        <f t="shared" si="73"/>
        <v>0</v>
      </c>
      <c r="AT38" s="120">
        <f t="shared" si="35"/>
        <v>0</v>
      </c>
      <c r="AU38" s="87">
        <f t="shared" si="36"/>
        <v>0</v>
      </c>
      <c r="AV38" s="75">
        <f t="shared" si="7"/>
        <v>0</v>
      </c>
      <c r="AW38" s="75">
        <f t="shared" si="8"/>
        <v>0</v>
      </c>
      <c r="AX38" s="75">
        <f t="shared" si="9"/>
        <v>0</v>
      </c>
      <c r="AY38" s="75">
        <f t="shared" si="37"/>
        <v>0</v>
      </c>
      <c r="AZ38" s="76">
        <f t="shared" si="38"/>
        <v>0</v>
      </c>
      <c r="BA38" s="35">
        <f t="shared" si="39"/>
        <v>0</v>
      </c>
      <c r="BB38" s="35">
        <f t="shared" si="10"/>
        <v>0</v>
      </c>
      <c r="BC38" s="35">
        <f t="shared" si="11"/>
        <v>0</v>
      </c>
      <c r="BD38" s="35">
        <f t="shared" si="12"/>
        <v>0</v>
      </c>
      <c r="BE38" s="35">
        <f t="shared" si="13"/>
        <v>0</v>
      </c>
      <c r="BF38" s="35">
        <f t="shared" si="14"/>
        <v>0</v>
      </c>
      <c r="BG38" s="35">
        <f t="shared" si="15"/>
        <v>0</v>
      </c>
      <c r="BH38" s="35">
        <f t="shared" si="16"/>
        <v>0</v>
      </c>
      <c r="BI38" s="35">
        <f t="shared" si="17"/>
        <v>0</v>
      </c>
      <c r="BJ38" s="35">
        <f t="shared" si="18"/>
        <v>0</v>
      </c>
      <c r="BK38" s="35">
        <f t="shared" si="40"/>
        <v>0</v>
      </c>
      <c r="BM38" s="35">
        <f t="shared" si="41"/>
        <v>0</v>
      </c>
      <c r="BN38" s="35">
        <f t="shared" si="42"/>
        <v>0</v>
      </c>
      <c r="BO38" s="35" t="e">
        <f t="shared" si="54"/>
        <v>#N/A</v>
      </c>
      <c r="BP38" s="35" t="e">
        <f t="shared" si="19"/>
        <v>#N/A</v>
      </c>
      <c r="BQ38" s="47">
        <f t="shared" si="20"/>
        <v>0</v>
      </c>
      <c r="BS38" s="159">
        <f t="shared" si="59"/>
        <v>8</v>
      </c>
      <c r="BT38" s="159">
        <f t="shared" si="59"/>
        <v>7</v>
      </c>
      <c r="BU38" s="166">
        <f t="shared" si="43"/>
        <v>2.6550000000000002</v>
      </c>
      <c r="BV38" s="167">
        <f t="shared" ref="BV38" si="77">INDEX(N$17:N$42,BS38)</f>
        <v>-0.33500000000000002</v>
      </c>
    </row>
    <row r="39" spans="1:74" ht="36" customHeight="1" x14ac:dyDescent="0.45">
      <c r="A39" s="178">
        <v>23</v>
      </c>
      <c r="B39" s="179"/>
      <c r="C39" s="179"/>
      <c r="D39" s="179"/>
      <c r="E39" s="179"/>
      <c r="F39" s="179"/>
      <c r="H39" s="113" t="str">
        <f t="shared" si="65"/>
        <v/>
      </c>
      <c r="I39" s="113" t="str">
        <f t="shared" si="66"/>
        <v/>
      </c>
      <c r="J39" s="114" t="str">
        <f t="shared" si="67"/>
        <v/>
      </c>
      <c r="K39" s="113" t="str">
        <f t="shared" si="68"/>
        <v/>
      </c>
      <c r="L39" s="163" t="str">
        <f t="shared" si="69"/>
        <v/>
      </c>
      <c r="M39" s="115">
        <f t="shared" si="70"/>
        <v>0</v>
      </c>
      <c r="N39" s="116" t="str">
        <f t="shared" si="71"/>
        <v/>
      </c>
      <c r="O39" s="38"/>
      <c r="P39" s="38">
        <f t="shared" si="25"/>
        <v>2.038400000000002</v>
      </c>
      <c r="Q39" s="38">
        <f t="shared" si="3"/>
        <v>0.18866832166325428</v>
      </c>
      <c r="R39" s="38"/>
      <c r="S39" s="38"/>
      <c r="T39" s="38">
        <f t="shared" si="26"/>
        <v>3.441599999999998</v>
      </c>
      <c r="U39" s="38">
        <f t="shared" si="4"/>
        <v>0.1967911832783481</v>
      </c>
      <c r="V39" s="38"/>
      <c r="W39" s="38" t="e">
        <f t="shared" si="46"/>
        <v>#N/A</v>
      </c>
      <c r="X39" s="38"/>
      <c r="Y39" s="58"/>
      <c r="Z39" s="38"/>
      <c r="AA39" s="58"/>
      <c r="AB39" s="38"/>
      <c r="AC39" s="75">
        <f t="shared" si="27"/>
        <v>0</v>
      </c>
      <c r="AD39" s="117" t="e">
        <f t="shared" si="28"/>
        <v>#N/A</v>
      </c>
      <c r="AE39" s="117" t="e">
        <f t="shared" si="29"/>
        <v>#N/A</v>
      </c>
      <c r="AF39" s="117" t="e">
        <f t="shared" si="30"/>
        <v>#N/A</v>
      </c>
      <c r="AG39" s="118">
        <f t="shared" si="31"/>
        <v>0</v>
      </c>
      <c r="AH39" s="118" t="e">
        <f t="shared" si="32"/>
        <v>#N/A</v>
      </c>
      <c r="AI39" s="118" t="e">
        <f t="shared" si="33"/>
        <v>#N/A</v>
      </c>
      <c r="AJ39" s="164">
        <f t="shared" si="47"/>
        <v>0</v>
      </c>
      <c r="AL39" s="75">
        <f t="shared" si="6"/>
        <v>0</v>
      </c>
      <c r="AM39" s="75">
        <f t="shared" si="48"/>
        <v>0</v>
      </c>
      <c r="AN39" s="75">
        <f t="shared" si="49"/>
        <v>0</v>
      </c>
      <c r="AO39" s="75">
        <f t="shared" si="50"/>
        <v>0</v>
      </c>
      <c r="AP39" s="165">
        <f t="shared" si="34"/>
        <v>0</v>
      </c>
      <c r="AQ39" s="75">
        <f t="shared" si="51"/>
        <v>0</v>
      </c>
      <c r="AR39" s="75">
        <f t="shared" si="52"/>
        <v>0</v>
      </c>
      <c r="AS39" s="75">
        <f t="shared" si="73"/>
        <v>0</v>
      </c>
      <c r="AT39" s="120">
        <f t="shared" si="35"/>
        <v>0</v>
      </c>
      <c r="AU39" s="87">
        <f t="shared" si="36"/>
        <v>0</v>
      </c>
      <c r="AV39" s="75">
        <f t="shared" si="7"/>
        <v>0</v>
      </c>
      <c r="AW39" s="75">
        <f t="shared" si="8"/>
        <v>0</v>
      </c>
      <c r="AX39" s="75">
        <f t="shared" si="9"/>
        <v>0</v>
      </c>
      <c r="AY39" s="75">
        <f t="shared" si="37"/>
        <v>0</v>
      </c>
      <c r="AZ39" s="76">
        <f t="shared" si="38"/>
        <v>0</v>
      </c>
      <c r="BA39" s="35">
        <f t="shared" si="39"/>
        <v>0</v>
      </c>
      <c r="BB39" s="35">
        <f t="shared" si="10"/>
        <v>0</v>
      </c>
      <c r="BC39" s="35">
        <f t="shared" si="11"/>
        <v>0</v>
      </c>
      <c r="BD39" s="35">
        <f t="shared" si="12"/>
        <v>0</v>
      </c>
      <c r="BE39" s="35">
        <f t="shared" si="13"/>
        <v>0</v>
      </c>
      <c r="BF39" s="35">
        <f t="shared" si="14"/>
        <v>0</v>
      </c>
      <c r="BG39" s="35">
        <f t="shared" si="15"/>
        <v>0</v>
      </c>
      <c r="BH39" s="35">
        <f t="shared" si="16"/>
        <v>0</v>
      </c>
      <c r="BI39" s="35">
        <f t="shared" si="17"/>
        <v>0</v>
      </c>
      <c r="BJ39" s="35">
        <f t="shared" si="18"/>
        <v>0</v>
      </c>
      <c r="BK39" s="35">
        <f t="shared" si="40"/>
        <v>0</v>
      </c>
      <c r="BM39" s="35">
        <f t="shared" si="41"/>
        <v>0</v>
      </c>
      <c r="BN39" s="35">
        <f t="shared" si="42"/>
        <v>0</v>
      </c>
      <c r="BO39" s="35" t="e">
        <f t="shared" si="54"/>
        <v>#N/A</v>
      </c>
      <c r="BP39" s="35" t="e">
        <f t="shared" si="19"/>
        <v>#N/A</v>
      </c>
      <c r="BQ39" s="47">
        <f t="shared" si="20"/>
        <v>0</v>
      </c>
      <c r="BS39" s="159">
        <f t="shared" si="59"/>
        <v>8</v>
      </c>
      <c r="BT39" s="159">
        <f t="shared" si="59"/>
        <v>9</v>
      </c>
      <c r="BU39" s="166">
        <f t="shared" si="43"/>
        <v>2.7649999999999997</v>
      </c>
      <c r="BV39" s="167">
        <f t="shared" si="44"/>
        <v>-0.33500000000000002</v>
      </c>
    </row>
    <row r="40" spans="1:74" ht="36" customHeight="1" x14ac:dyDescent="0.45">
      <c r="A40" s="180">
        <v>24</v>
      </c>
      <c r="B40" s="181"/>
      <c r="C40" s="181"/>
      <c r="D40" s="181"/>
      <c r="E40" s="181"/>
      <c r="F40" s="181"/>
      <c r="H40" s="113" t="str">
        <f t="shared" si="65"/>
        <v/>
      </c>
      <c r="I40" s="113" t="str">
        <f t="shared" si="66"/>
        <v/>
      </c>
      <c r="J40" s="114" t="str">
        <f t="shared" si="67"/>
        <v/>
      </c>
      <c r="K40" s="113" t="str">
        <f t="shared" si="68"/>
        <v/>
      </c>
      <c r="L40" s="163" t="str">
        <f t="shared" si="69"/>
        <v/>
      </c>
      <c r="M40" s="115">
        <f t="shared" si="70"/>
        <v>0</v>
      </c>
      <c r="N40" s="116" t="str">
        <f t="shared" si="71"/>
        <v/>
      </c>
      <c r="O40" s="38"/>
      <c r="P40" s="38">
        <f t="shared" si="25"/>
        <v>2.0456000000000021</v>
      </c>
      <c r="Q40" s="38">
        <f t="shared" si="3"/>
        <v>0.19284460579540177</v>
      </c>
      <c r="R40" s="38"/>
      <c r="S40" s="38"/>
      <c r="T40" s="38">
        <f t="shared" si="26"/>
        <v>3.4343999999999979</v>
      </c>
      <c r="U40" s="38">
        <f t="shared" si="4"/>
        <v>0.19822039478781078</v>
      </c>
      <c r="V40" s="38"/>
      <c r="W40" s="38" t="e">
        <f t="shared" si="46"/>
        <v>#N/A</v>
      </c>
      <c r="X40" s="38"/>
      <c r="Y40" s="58"/>
      <c r="Z40" s="38"/>
      <c r="AA40" s="58"/>
      <c r="AB40" s="38"/>
      <c r="AC40" s="75">
        <f t="shared" si="27"/>
        <v>0</v>
      </c>
      <c r="AD40" s="117" t="e">
        <f t="shared" si="28"/>
        <v>#N/A</v>
      </c>
      <c r="AE40" s="117" t="e">
        <f t="shared" si="29"/>
        <v>#N/A</v>
      </c>
      <c r="AF40" s="117" t="e">
        <f t="shared" si="30"/>
        <v>#N/A</v>
      </c>
      <c r="AG40" s="118">
        <f t="shared" si="31"/>
        <v>0</v>
      </c>
      <c r="AH40" s="118" t="e">
        <f t="shared" si="32"/>
        <v>#N/A</v>
      </c>
      <c r="AI40" s="118" t="e">
        <f t="shared" si="33"/>
        <v>#N/A</v>
      </c>
      <c r="AJ40" s="164">
        <f t="shared" si="47"/>
        <v>0</v>
      </c>
      <c r="AL40" s="75">
        <f t="shared" si="6"/>
        <v>0</v>
      </c>
      <c r="AM40" s="75">
        <f t="shared" si="48"/>
        <v>0</v>
      </c>
      <c r="AN40" s="75">
        <f t="shared" si="49"/>
        <v>0</v>
      </c>
      <c r="AO40" s="75">
        <f t="shared" si="50"/>
        <v>0</v>
      </c>
      <c r="AP40" s="165">
        <f t="shared" si="34"/>
        <v>0</v>
      </c>
      <c r="AQ40" s="75">
        <f t="shared" si="51"/>
        <v>0</v>
      </c>
      <c r="AR40" s="75">
        <f t="shared" si="52"/>
        <v>0</v>
      </c>
      <c r="AS40" s="75">
        <f t="shared" si="53"/>
        <v>0</v>
      </c>
      <c r="AT40" s="120">
        <f t="shared" si="35"/>
        <v>0</v>
      </c>
      <c r="AU40" s="87">
        <f t="shared" si="36"/>
        <v>0</v>
      </c>
      <c r="AV40" s="75">
        <f t="shared" si="7"/>
        <v>0</v>
      </c>
      <c r="AW40" s="75">
        <f t="shared" si="8"/>
        <v>0</v>
      </c>
      <c r="AX40" s="75">
        <f t="shared" si="9"/>
        <v>0</v>
      </c>
      <c r="AY40" s="75">
        <f t="shared" si="37"/>
        <v>0</v>
      </c>
      <c r="AZ40" s="76">
        <f t="shared" si="38"/>
        <v>0</v>
      </c>
      <c r="BA40" s="35">
        <f t="shared" si="39"/>
        <v>0</v>
      </c>
      <c r="BB40" s="35">
        <f t="shared" si="10"/>
        <v>0</v>
      </c>
      <c r="BC40" s="35">
        <f t="shared" si="11"/>
        <v>0</v>
      </c>
      <c r="BD40" s="35">
        <f t="shared" si="12"/>
        <v>0</v>
      </c>
      <c r="BE40" s="35">
        <f t="shared" si="13"/>
        <v>0</v>
      </c>
      <c r="BF40" s="35">
        <f t="shared" si="14"/>
        <v>0</v>
      </c>
      <c r="BG40" s="35">
        <f t="shared" si="15"/>
        <v>0</v>
      </c>
      <c r="BH40" s="35">
        <f t="shared" si="16"/>
        <v>0</v>
      </c>
      <c r="BI40" s="35">
        <f t="shared" si="17"/>
        <v>0</v>
      </c>
      <c r="BJ40" s="35">
        <f t="shared" si="18"/>
        <v>0</v>
      </c>
      <c r="BK40" s="35">
        <f t="shared" si="40"/>
        <v>0</v>
      </c>
      <c r="BM40" s="35">
        <f t="shared" si="41"/>
        <v>0</v>
      </c>
      <c r="BN40" s="35">
        <f t="shared" si="42"/>
        <v>0</v>
      </c>
      <c r="BO40" s="35" t="e">
        <f t="shared" si="54"/>
        <v>#N/A</v>
      </c>
      <c r="BP40" s="35" t="e">
        <f t="shared" si="19"/>
        <v>#N/A</v>
      </c>
      <c r="BQ40" s="47">
        <f t="shared" si="20"/>
        <v>0</v>
      </c>
      <c r="BS40" s="159">
        <f t="shared" si="59"/>
        <v>8</v>
      </c>
      <c r="BT40" s="159">
        <f t="shared" si="59"/>
        <v>9</v>
      </c>
      <c r="BU40" s="166">
        <f t="shared" si="43"/>
        <v>2.7649999999999997</v>
      </c>
      <c r="BV40" s="167">
        <f t="shared" ref="BV40" si="78">IF(ISBLANK(INDEX(B$17:B$42,BS40)),BV39,$BV$15)</f>
        <v>0</v>
      </c>
    </row>
    <row r="41" spans="1:74" ht="36" customHeight="1" x14ac:dyDescent="0.45">
      <c r="A41" s="178">
        <v>25</v>
      </c>
      <c r="B41" s="179"/>
      <c r="C41" s="179"/>
      <c r="D41" s="179"/>
      <c r="E41" s="179"/>
      <c r="F41" s="179"/>
      <c r="H41" s="113" t="str">
        <f t="shared" si="65"/>
        <v/>
      </c>
      <c r="I41" s="113" t="str">
        <f t="shared" si="66"/>
        <v/>
      </c>
      <c r="J41" s="114" t="str">
        <f t="shared" si="67"/>
        <v/>
      </c>
      <c r="K41" s="113" t="str">
        <f t="shared" si="68"/>
        <v/>
      </c>
      <c r="L41" s="163" t="str">
        <f t="shared" si="69"/>
        <v/>
      </c>
      <c r="M41" s="115">
        <f t="shared" si="70"/>
        <v>0</v>
      </c>
      <c r="N41" s="116" t="str">
        <f t="shared" si="71"/>
        <v/>
      </c>
      <c r="O41" s="38"/>
      <c r="P41" s="38">
        <f t="shared" si="25"/>
        <v>2.0528000000000022</v>
      </c>
      <c r="Q41" s="38">
        <f t="shared" si="3"/>
        <v>0.19692971952851113</v>
      </c>
      <c r="R41" s="38"/>
      <c r="S41" s="38"/>
      <c r="T41" s="38">
        <f t="shared" si="26"/>
        <v>3.4271999999999978</v>
      </c>
      <c r="U41" s="38">
        <f t="shared" si="4"/>
        <v>0.19959849543845073</v>
      </c>
      <c r="V41" s="38"/>
      <c r="W41" s="38" t="e">
        <f t="shared" si="46"/>
        <v>#N/A</v>
      </c>
      <c r="X41" s="38"/>
      <c r="Y41" s="58"/>
      <c r="Z41" s="38"/>
      <c r="AA41" s="58"/>
      <c r="AB41" s="38"/>
      <c r="AC41" s="75">
        <f t="shared" si="27"/>
        <v>0</v>
      </c>
      <c r="AD41" s="117" t="e">
        <f t="shared" si="28"/>
        <v>#N/A</v>
      </c>
      <c r="AE41" s="117" t="e">
        <f t="shared" si="29"/>
        <v>#N/A</v>
      </c>
      <c r="AF41" s="117" t="e">
        <f t="shared" si="30"/>
        <v>#N/A</v>
      </c>
      <c r="AG41" s="118">
        <f t="shared" si="31"/>
        <v>0</v>
      </c>
      <c r="AH41" s="118" t="e">
        <f t="shared" si="32"/>
        <v>#N/A</v>
      </c>
      <c r="AI41" s="118" t="e">
        <f t="shared" si="33"/>
        <v>#N/A</v>
      </c>
      <c r="AJ41" s="164">
        <f t="shared" si="47"/>
        <v>0</v>
      </c>
      <c r="AL41" s="75">
        <f t="shared" si="6"/>
        <v>0</v>
      </c>
      <c r="AM41" s="75">
        <f t="shared" si="48"/>
        <v>0</v>
      </c>
      <c r="AN41" s="75">
        <f t="shared" si="49"/>
        <v>0</v>
      </c>
      <c r="AO41" s="75">
        <f t="shared" si="50"/>
        <v>0</v>
      </c>
      <c r="AP41" s="165">
        <f t="shared" si="34"/>
        <v>0</v>
      </c>
      <c r="AQ41" s="75">
        <f t="shared" si="51"/>
        <v>0</v>
      </c>
      <c r="AR41" s="75">
        <f t="shared" si="52"/>
        <v>0</v>
      </c>
      <c r="AS41" s="75">
        <f t="shared" si="53"/>
        <v>0</v>
      </c>
      <c r="AT41" s="120">
        <f t="shared" si="35"/>
        <v>0</v>
      </c>
      <c r="AU41" s="87">
        <f t="shared" si="36"/>
        <v>0</v>
      </c>
      <c r="AV41" s="75">
        <f t="shared" si="7"/>
        <v>0</v>
      </c>
      <c r="AW41" s="75">
        <f t="shared" si="8"/>
        <v>0</v>
      </c>
      <c r="AX41" s="75">
        <f t="shared" si="9"/>
        <v>0</v>
      </c>
      <c r="AY41" s="75">
        <f t="shared" si="37"/>
        <v>0</v>
      </c>
      <c r="AZ41" s="76">
        <f t="shared" si="38"/>
        <v>0</v>
      </c>
      <c r="BA41" s="35">
        <f t="shared" si="39"/>
        <v>0</v>
      </c>
      <c r="BB41" s="35">
        <f t="shared" si="10"/>
        <v>0</v>
      </c>
      <c r="BC41" s="35">
        <f t="shared" si="11"/>
        <v>0</v>
      </c>
      <c r="BD41" s="35">
        <f t="shared" si="12"/>
        <v>0</v>
      </c>
      <c r="BE41" s="35">
        <f t="shared" si="13"/>
        <v>0</v>
      </c>
      <c r="BF41" s="35">
        <f t="shared" si="14"/>
        <v>0</v>
      </c>
      <c r="BG41" s="35">
        <f t="shared" si="15"/>
        <v>0</v>
      </c>
      <c r="BH41" s="35">
        <f t="shared" si="16"/>
        <v>0</v>
      </c>
      <c r="BI41" s="35">
        <f t="shared" si="17"/>
        <v>0</v>
      </c>
      <c r="BJ41" s="35">
        <f t="shared" si="18"/>
        <v>0</v>
      </c>
      <c r="BK41" s="35">
        <f t="shared" si="40"/>
        <v>0</v>
      </c>
      <c r="BM41" s="35">
        <f t="shared" si="41"/>
        <v>0</v>
      </c>
      <c r="BN41" s="35">
        <f t="shared" si="42"/>
        <v>0</v>
      </c>
      <c r="BO41" s="35" t="e">
        <f t="shared" si="54"/>
        <v>#N/A</v>
      </c>
      <c r="BP41" s="35" t="e">
        <f t="shared" si="19"/>
        <v>#N/A</v>
      </c>
      <c r="BQ41" s="47">
        <f t="shared" si="20"/>
        <v>0</v>
      </c>
      <c r="BS41" s="159">
        <f t="shared" ref="BS41:BT56" si="79">BS38+1</f>
        <v>9</v>
      </c>
      <c r="BT41" s="159">
        <f t="shared" si="79"/>
        <v>8</v>
      </c>
      <c r="BU41" s="166">
        <f t="shared" si="43"/>
        <v>2.7649999999999997</v>
      </c>
      <c r="BV41" s="167">
        <f t="shared" ref="BV41" si="80">INDEX(N$17:N$42,BS41)</f>
        <v>-0.35</v>
      </c>
    </row>
    <row r="42" spans="1:74" ht="36" customHeight="1" x14ac:dyDescent="0.45">
      <c r="A42" s="180">
        <v>26</v>
      </c>
      <c r="B42" s="181"/>
      <c r="C42" s="181"/>
      <c r="D42" s="181"/>
      <c r="E42" s="181"/>
      <c r="F42" s="181"/>
      <c r="H42" s="113" t="str">
        <f t="shared" si="65"/>
        <v/>
      </c>
      <c r="I42" s="113" t="str">
        <f t="shared" si="66"/>
        <v/>
      </c>
      <c r="J42" s="114" t="str">
        <f t="shared" si="67"/>
        <v/>
      </c>
      <c r="K42" s="113" t="str">
        <f t="shared" si="68"/>
        <v/>
      </c>
      <c r="L42" s="163" t="str">
        <f t="shared" si="69"/>
        <v/>
      </c>
      <c r="M42" s="115">
        <f t="shared" si="70"/>
        <v>0</v>
      </c>
      <c r="N42" s="116" t="str">
        <f t="shared" si="71"/>
        <v/>
      </c>
      <c r="O42" s="38"/>
      <c r="P42" s="38">
        <f>B18</f>
        <v>2.06</v>
      </c>
      <c r="Q42" s="38">
        <f t="shared" si="3"/>
        <v>0.20092933255934736</v>
      </c>
      <c r="R42" s="38"/>
      <c r="S42" s="38"/>
      <c r="T42" s="38">
        <f>LOOKUP(2,1/(D17:D42&lt;&gt;""),B17:B42)</f>
        <v>3.42</v>
      </c>
      <c r="U42" s="38">
        <f t="shared" si="4"/>
        <v>0.20092933255934736</v>
      </c>
      <c r="V42" s="38"/>
      <c r="W42" s="38" t="e">
        <f t="shared" si="46"/>
        <v>#N/A</v>
      </c>
      <c r="X42" s="38"/>
      <c r="Y42" s="58"/>
      <c r="Z42" s="38"/>
      <c r="AA42" s="58"/>
      <c r="AB42" s="38"/>
      <c r="AC42" s="75">
        <f t="shared" si="27"/>
        <v>0</v>
      </c>
      <c r="AD42" s="117" t="e">
        <f t="shared" si="28"/>
        <v>#N/A</v>
      </c>
      <c r="AE42" s="117" t="e">
        <f t="shared" si="29"/>
        <v>#N/A</v>
      </c>
      <c r="AF42" s="117" t="e">
        <f t="shared" si="30"/>
        <v>#N/A</v>
      </c>
      <c r="AG42" s="118">
        <f t="shared" si="31"/>
        <v>0</v>
      </c>
      <c r="AH42" s="118" t="e">
        <f t="shared" si="32"/>
        <v>#N/A</v>
      </c>
      <c r="AI42" s="118" t="e">
        <f t="shared" si="33"/>
        <v>#N/A</v>
      </c>
      <c r="AJ42" s="164">
        <f t="shared" si="47"/>
        <v>0</v>
      </c>
      <c r="AL42" s="75">
        <f t="shared" si="6"/>
        <v>0</v>
      </c>
      <c r="AM42" s="75">
        <f t="shared" si="48"/>
        <v>0</v>
      </c>
      <c r="AN42" s="75">
        <f t="shared" si="49"/>
        <v>0</v>
      </c>
      <c r="AO42" s="75">
        <f t="shared" si="50"/>
        <v>0</v>
      </c>
      <c r="AP42" s="165">
        <f t="shared" si="34"/>
        <v>0</v>
      </c>
      <c r="AQ42" s="75">
        <f t="shared" si="51"/>
        <v>0</v>
      </c>
      <c r="AR42" s="75">
        <f t="shared" si="52"/>
        <v>0</v>
      </c>
      <c r="AS42" s="75">
        <f t="shared" si="53"/>
        <v>0</v>
      </c>
      <c r="AT42" s="120">
        <f t="shared" si="35"/>
        <v>0</v>
      </c>
      <c r="AU42" s="87">
        <f t="shared" si="36"/>
        <v>0</v>
      </c>
      <c r="AV42" s="75">
        <f t="shared" si="7"/>
        <v>0</v>
      </c>
      <c r="AW42" s="75">
        <f t="shared" si="8"/>
        <v>0</v>
      </c>
      <c r="AX42" s="75">
        <f t="shared" si="9"/>
        <v>0</v>
      </c>
      <c r="AY42" s="75">
        <f t="shared" si="37"/>
        <v>0</v>
      </c>
      <c r="AZ42" s="76">
        <f t="shared" si="38"/>
        <v>0</v>
      </c>
      <c r="BA42" s="35">
        <f t="shared" si="39"/>
        <v>0</v>
      </c>
      <c r="BB42" s="35">
        <f t="shared" si="10"/>
        <v>0</v>
      </c>
      <c r="BC42" s="35">
        <f t="shared" si="11"/>
        <v>0</v>
      </c>
      <c r="BD42" s="35">
        <f t="shared" si="12"/>
        <v>0</v>
      </c>
      <c r="BE42" s="35">
        <f t="shared" si="13"/>
        <v>0</v>
      </c>
      <c r="BF42" s="35">
        <f t="shared" si="14"/>
        <v>0</v>
      </c>
      <c r="BG42" s="35">
        <f t="shared" si="15"/>
        <v>0</v>
      </c>
      <c r="BH42" s="35">
        <f t="shared" si="16"/>
        <v>0</v>
      </c>
      <c r="BI42" s="35">
        <f t="shared" si="17"/>
        <v>0</v>
      </c>
      <c r="BJ42" s="35">
        <f t="shared" si="18"/>
        <v>0</v>
      </c>
      <c r="BK42" s="35">
        <f t="shared" si="40"/>
        <v>0</v>
      </c>
      <c r="BM42" s="35">
        <f t="shared" si="41"/>
        <v>0</v>
      </c>
      <c r="BN42" s="35">
        <f t="shared" si="42"/>
        <v>0</v>
      </c>
      <c r="BO42" s="35" t="e">
        <f t="shared" si="54"/>
        <v>#N/A</v>
      </c>
      <c r="BP42" s="35" t="e">
        <f t="shared" si="19"/>
        <v>#N/A</v>
      </c>
      <c r="BQ42" s="47">
        <f t="shared" si="20"/>
        <v>0</v>
      </c>
      <c r="BS42" s="159">
        <f t="shared" si="79"/>
        <v>9</v>
      </c>
      <c r="BT42" s="159">
        <f t="shared" si="79"/>
        <v>10</v>
      </c>
      <c r="BU42" s="166">
        <f t="shared" si="43"/>
        <v>2.875</v>
      </c>
      <c r="BV42" s="167">
        <f t="shared" si="44"/>
        <v>-0.35</v>
      </c>
    </row>
    <row r="43" spans="1:74" x14ac:dyDescent="0.35">
      <c r="BS43" s="159">
        <f t="shared" si="79"/>
        <v>9</v>
      </c>
      <c r="BT43" s="159">
        <f t="shared" si="79"/>
        <v>10</v>
      </c>
      <c r="BU43" s="166">
        <f t="shared" si="43"/>
        <v>2.875</v>
      </c>
      <c r="BV43" s="167">
        <f t="shared" ref="BV43" si="81">IF(ISBLANK(INDEX(B$17:B$42,BS43)),BV42,$BV$15)</f>
        <v>0</v>
      </c>
    </row>
    <row r="44" spans="1:74" x14ac:dyDescent="0.35">
      <c r="BS44" s="159">
        <f t="shared" si="79"/>
        <v>10</v>
      </c>
      <c r="BT44" s="159">
        <f t="shared" si="79"/>
        <v>9</v>
      </c>
      <c r="BU44" s="166">
        <f t="shared" si="43"/>
        <v>2.875</v>
      </c>
      <c r="BV44" s="167">
        <f t="shared" ref="BV44" si="82">INDEX(N$17:N$42,BS44)</f>
        <v>-0.34</v>
      </c>
    </row>
    <row r="45" spans="1:74" x14ac:dyDescent="0.35">
      <c r="BS45" s="159">
        <f t="shared" si="79"/>
        <v>10</v>
      </c>
      <c r="BT45" s="159">
        <f t="shared" si="79"/>
        <v>11</v>
      </c>
      <c r="BU45" s="166">
        <f t="shared" si="43"/>
        <v>2.9850000000000003</v>
      </c>
      <c r="BV45" s="167">
        <f t="shared" si="44"/>
        <v>-0.34</v>
      </c>
    </row>
    <row r="46" spans="1:74" x14ac:dyDescent="0.35">
      <c r="BS46" s="159">
        <f t="shared" si="79"/>
        <v>10</v>
      </c>
      <c r="BT46" s="159">
        <f t="shared" si="79"/>
        <v>11</v>
      </c>
      <c r="BU46" s="166">
        <f t="shared" si="43"/>
        <v>2.9850000000000003</v>
      </c>
      <c r="BV46" s="167">
        <f t="shared" ref="BV46" si="83">IF(ISBLANK(INDEX(B$17:B$42,BS46)),BV45,$BV$15)</f>
        <v>0</v>
      </c>
    </row>
    <row r="47" spans="1:74" x14ac:dyDescent="0.35">
      <c r="BS47" s="159">
        <f t="shared" si="79"/>
        <v>11</v>
      </c>
      <c r="BT47" s="159">
        <f t="shared" si="79"/>
        <v>10</v>
      </c>
      <c r="BU47" s="166">
        <f t="shared" si="43"/>
        <v>2.9850000000000003</v>
      </c>
      <c r="BV47" s="167">
        <f t="shared" ref="BV47" si="84">INDEX(N$17:N$42,BS47)</f>
        <v>-0.34</v>
      </c>
    </row>
    <row r="48" spans="1:74" x14ac:dyDescent="0.35">
      <c r="BS48" s="159">
        <f t="shared" si="79"/>
        <v>11</v>
      </c>
      <c r="BT48" s="159">
        <f t="shared" si="79"/>
        <v>12</v>
      </c>
      <c r="BU48" s="166">
        <f t="shared" si="43"/>
        <v>3.0949999999999998</v>
      </c>
      <c r="BV48" s="167">
        <f t="shared" si="44"/>
        <v>-0.34</v>
      </c>
    </row>
    <row r="49" spans="71:74" x14ac:dyDescent="0.35">
      <c r="BS49" s="159">
        <f t="shared" si="79"/>
        <v>11</v>
      </c>
      <c r="BT49" s="159">
        <f t="shared" si="79"/>
        <v>12</v>
      </c>
      <c r="BU49" s="166">
        <f t="shared" si="43"/>
        <v>3.0949999999999998</v>
      </c>
      <c r="BV49" s="167">
        <f t="shared" ref="BV49" si="85">IF(ISBLANK(INDEX(B$17:B$42,BS49)),BV48,$BV$15)</f>
        <v>0</v>
      </c>
    </row>
    <row r="50" spans="71:74" x14ac:dyDescent="0.35">
      <c r="BS50" s="159">
        <f t="shared" si="79"/>
        <v>12</v>
      </c>
      <c r="BT50" s="159">
        <f t="shared" si="79"/>
        <v>11</v>
      </c>
      <c r="BU50" s="166">
        <f t="shared" si="43"/>
        <v>3.0949999999999998</v>
      </c>
      <c r="BV50" s="167">
        <f t="shared" ref="BV50" si="86">INDEX(N$17:N$42,BS50)</f>
        <v>-0.34</v>
      </c>
    </row>
    <row r="51" spans="71:74" x14ac:dyDescent="0.35">
      <c r="BS51" s="159">
        <f t="shared" si="79"/>
        <v>12</v>
      </c>
      <c r="BT51" s="159">
        <f t="shared" si="79"/>
        <v>13</v>
      </c>
      <c r="BU51" s="166">
        <f t="shared" si="43"/>
        <v>3.2050000000000001</v>
      </c>
      <c r="BV51" s="167">
        <f t="shared" si="44"/>
        <v>-0.34</v>
      </c>
    </row>
    <row r="52" spans="71:74" x14ac:dyDescent="0.35">
      <c r="BS52" s="159">
        <f t="shared" si="79"/>
        <v>12</v>
      </c>
      <c r="BT52" s="159">
        <f t="shared" si="79"/>
        <v>13</v>
      </c>
      <c r="BU52" s="166">
        <f t="shared" si="43"/>
        <v>3.2050000000000001</v>
      </c>
      <c r="BV52" s="167">
        <f t="shared" ref="BV52" si="87">IF(ISBLANK(INDEX(B$17:B$42,BS52)),BV51,$BV$15)</f>
        <v>0</v>
      </c>
    </row>
    <row r="53" spans="71:74" x14ac:dyDescent="0.35">
      <c r="BS53" s="159">
        <f t="shared" si="79"/>
        <v>13</v>
      </c>
      <c r="BT53" s="159">
        <f t="shared" si="79"/>
        <v>12</v>
      </c>
      <c r="BU53" s="166">
        <f t="shared" si="43"/>
        <v>3.2050000000000001</v>
      </c>
      <c r="BV53" s="167">
        <f t="shared" ref="BV53" si="88">INDEX(N$17:N$42,BS53)</f>
        <v>-0.28499999999999998</v>
      </c>
    </row>
    <row r="54" spans="71:74" x14ac:dyDescent="0.35">
      <c r="BS54" s="159">
        <f t="shared" si="79"/>
        <v>13</v>
      </c>
      <c r="BT54" s="159">
        <f t="shared" si="79"/>
        <v>14</v>
      </c>
      <c r="BU54" s="166">
        <f t="shared" si="43"/>
        <v>3.34</v>
      </c>
      <c r="BV54" s="167">
        <f t="shared" si="44"/>
        <v>-0.28499999999999998</v>
      </c>
    </row>
    <row r="55" spans="71:74" x14ac:dyDescent="0.35">
      <c r="BS55" s="159">
        <f t="shared" si="79"/>
        <v>13</v>
      </c>
      <c r="BT55" s="159">
        <f t="shared" si="79"/>
        <v>14</v>
      </c>
      <c r="BU55" s="166">
        <f t="shared" si="43"/>
        <v>3.34</v>
      </c>
      <c r="BV55" s="167">
        <f t="shared" ref="BV55" si="89">IF(ISBLANK(INDEX(B$17:B$42,BS55)),BV54,$BV$15)</f>
        <v>0</v>
      </c>
    </row>
    <row r="56" spans="71:74" x14ac:dyDescent="0.35">
      <c r="BS56" s="159">
        <f t="shared" si="79"/>
        <v>14</v>
      </c>
      <c r="BT56" s="159">
        <f t="shared" si="79"/>
        <v>13</v>
      </c>
      <c r="BU56" s="166">
        <f t="shared" si="43"/>
        <v>3.34</v>
      </c>
      <c r="BV56" s="167">
        <f t="shared" ref="BV56" si="90">INDEX(N$17:N$42,BS56)</f>
        <v>-0.15</v>
      </c>
    </row>
    <row r="57" spans="71:74" x14ac:dyDescent="0.35">
      <c r="BS57" s="159">
        <f t="shared" ref="BS57:BT72" si="91">BS54+1</f>
        <v>14</v>
      </c>
      <c r="BT57" s="159">
        <f t="shared" si="91"/>
        <v>15</v>
      </c>
      <c r="BU57" s="166">
        <f t="shared" si="43"/>
        <v>3.51</v>
      </c>
      <c r="BV57" s="167">
        <f t="shared" si="44"/>
        <v>-0.15</v>
      </c>
    </row>
    <row r="58" spans="71:74" x14ac:dyDescent="0.35">
      <c r="BS58" s="159">
        <f t="shared" si="91"/>
        <v>14</v>
      </c>
      <c r="BT58" s="159">
        <f t="shared" si="91"/>
        <v>15</v>
      </c>
      <c r="BU58" s="166">
        <f t="shared" si="43"/>
        <v>3.51</v>
      </c>
      <c r="BV58" s="167">
        <f t="shared" ref="BV58" si="92">IF(ISBLANK(INDEX(B$17:B$42,BS58)),BV57,$BV$15)</f>
        <v>0</v>
      </c>
    </row>
    <row r="59" spans="71:74" x14ac:dyDescent="0.35">
      <c r="BS59" s="159">
        <f t="shared" si="91"/>
        <v>15</v>
      </c>
      <c r="BT59" s="159">
        <f t="shared" si="91"/>
        <v>14</v>
      </c>
      <c r="BU59" s="166">
        <f t="shared" si="43"/>
        <v>3.51</v>
      </c>
      <c r="BV59" s="167">
        <f t="shared" ref="BV59" si="93">INDEX(N$17:N$42,BS59)</f>
        <v>-0.12</v>
      </c>
    </row>
    <row r="60" spans="71:74" x14ac:dyDescent="0.35">
      <c r="BS60" s="159">
        <f t="shared" si="91"/>
        <v>15</v>
      </c>
      <c r="BT60" s="159">
        <f t="shared" si="91"/>
        <v>16</v>
      </c>
      <c r="BU60" s="166">
        <f t="shared" si="43"/>
        <v>3.6</v>
      </c>
      <c r="BV60" s="167">
        <f t="shared" si="44"/>
        <v>-0.12</v>
      </c>
    </row>
    <row r="61" spans="71:74" x14ac:dyDescent="0.35">
      <c r="BS61" s="159">
        <f t="shared" si="91"/>
        <v>15</v>
      </c>
      <c r="BT61" s="159">
        <f t="shared" si="91"/>
        <v>16</v>
      </c>
      <c r="BU61" s="166">
        <f t="shared" si="43"/>
        <v>3.6</v>
      </c>
      <c r="BV61" s="167">
        <f t="shared" ref="BV61" si="94">IF(ISBLANK(INDEX(B$17:B$42,BS61)),BV60,$BV$15)</f>
        <v>0</v>
      </c>
    </row>
    <row r="62" spans="71:74" x14ac:dyDescent="0.35">
      <c r="BS62" s="159">
        <f t="shared" si="91"/>
        <v>16</v>
      </c>
      <c r="BT62" s="159">
        <f t="shared" si="91"/>
        <v>15</v>
      </c>
      <c r="BU62" s="166">
        <f t="shared" si="43"/>
        <v>3.6</v>
      </c>
      <c r="BV62" s="167" t="str">
        <f>INDEX(N$17:N$42,BS62)</f>
        <v/>
      </c>
    </row>
    <row r="63" spans="71:74" x14ac:dyDescent="0.35">
      <c r="BS63" s="159">
        <f t="shared" si="91"/>
        <v>16</v>
      </c>
      <c r="BT63" s="159">
        <f t="shared" si="91"/>
        <v>17</v>
      </c>
      <c r="BU63" s="166">
        <f t="shared" si="43"/>
        <v>3.6</v>
      </c>
      <c r="BV63" s="167" t="str">
        <f t="shared" si="44"/>
        <v/>
      </c>
    </row>
    <row r="64" spans="71:74" x14ac:dyDescent="0.35">
      <c r="BS64" s="159">
        <f t="shared" si="91"/>
        <v>16</v>
      </c>
      <c r="BT64" s="159">
        <f t="shared" si="91"/>
        <v>17</v>
      </c>
      <c r="BU64" s="166">
        <f t="shared" si="43"/>
        <v>3.6</v>
      </c>
      <c r="BV64" s="167" t="str">
        <f>IF(ISBLANK(INDEX(B$17:B$42,BS64)),BV63,$BV$15)</f>
        <v/>
      </c>
    </row>
    <row r="65" spans="71:74" x14ac:dyDescent="0.35">
      <c r="BS65" s="159">
        <f t="shared" si="91"/>
        <v>17</v>
      </c>
      <c r="BT65" s="159">
        <f t="shared" si="91"/>
        <v>16</v>
      </c>
      <c r="BU65" s="166">
        <f t="shared" si="43"/>
        <v>3.6</v>
      </c>
      <c r="BV65" s="167" t="str">
        <f t="shared" ref="BV65" si="95">INDEX(N$17:N$42,BS65)</f>
        <v/>
      </c>
    </row>
    <row r="66" spans="71:74" x14ac:dyDescent="0.35">
      <c r="BS66" s="159">
        <f t="shared" si="91"/>
        <v>17</v>
      </c>
      <c r="BT66" s="159">
        <f t="shared" si="91"/>
        <v>18</v>
      </c>
      <c r="BU66" s="166">
        <f t="shared" si="43"/>
        <v>3.6</v>
      </c>
      <c r="BV66" s="167" t="str">
        <f t="shared" si="44"/>
        <v/>
      </c>
    </row>
    <row r="67" spans="71:74" x14ac:dyDescent="0.35">
      <c r="BS67" s="159">
        <f t="shared" si="91"/>
        <v>17</v>
      </c>
      <c r="BT67" s="159">
        <f t="shared" si="91"/>
        <v>18</v>
      </c>
      <c r="BU67" s="166">
        <f t="shared" si="43"/>
        <v>3.6</v>
      </c>
      <c r="BV67" s="167" t="str">
        <f t="shared" ref="BV67" si="96">IF(ISBLANK(INDEX(B$17:B$42,BS67)),BV66,$BV$15)</f>
        <v/>
      </c>
    </row>
    <row r="68" spans="71:74" x14ac:dyDescent="0.35">
      <c r="BS68" s="159">
        <f t="shared" si="91"/>
        <v>18</v>
      </c>
      <c r="BT68" s="159">
        <f t="shared" si="91"/>
        <v>17</v>
      </c>
      <c r="BU68" s="166">
        <f t="shared" si="43"/>
        <v>3.6</v>
      </c>
      <c r="BV68" s="167" t="str">
        <f t="shared" ref="BV68" si="97">INDEX(N$17:N$42,BS68)</f>
        <v/>
      </c>
    </row>
    <row r="69" spans="71:74" x14ac:dyDescent="0.35">
      <c r="BS69" s="159">
        <f t="shared" si="91"/>
        <v>18</v>
      </c>
      <c r="BT69" s="159">
        <f t="shared" si="91"/>
        <v>19</v>
      </c>
      <c r="BU69" s="166">
        <f t="shared" si="43"/>
        <v>3.6</v>
      </c>
      <c r="BV69" s="167" t="str">
        <f t="shared" si="44"/>
        <v/>
      </c>
    </row>
    <row r="70" spans="71:74" x14ac:dyDescent="0.35">
      <c r="BS70" s="159">
        <f t="shared" si="91"/>
        <v>18</v>
      </c>
      <c r="BT70" s="159">
        <f t="shared" si="91"/>
        <v>19</v>
      </c>
      <c r="BU70" s="166">
        <f t="shared" si="43"/>
        <v>3.6</v>
      </c>
      <c r="BV70" s="167" t="str">
        <f t="shared" ref="BV70" si="98">IF(ISBLANK(INDEX(B$17:B$42,BS70)),BV69,$BV$15)</f>
        <v/>
      </c>
    </row>
    <row r="71" spans="71:74" x14ac:dyDescent="0.35">
      <c r="BS71" s="159">
        <f t="shared" si="91"/>
        <v>19</v>
      </c>
      <c r="BT71" s="159">
        <f t="shared" si="91"/>
        <v>18</v>
      </c>
      <c r="BU71" s="166">
        <f t="shared" si="43"/>
        <v>3.6</v>
      </c>
      <c r="BV71" s="167" t="str">
        <f t="shared" ref="BV71" si="99">INDEX(N$17:N$42,BS71)</f>
        <v/>
      </c>
    </row>
    <row r="72" spans="71:74" x14ac:dyDescent="0.35">
      <c r="BS72" s="159">
        <f t="shared" si="91"/>
        <v>19</v>
      </c>
      <c r="BT72" s="159">
        <f t="shared" si="91"/>
        <v>20</v>
      </c>
      <c r="BU72" s="166">
        <f t="shared" si="43"/>
        <v>3.6</v>
      </c>
      <c r="BV72" s="167" t="str">
        <f t="shared" si="44"/>
        <v/>
      </c>
    </row>
    <row r="73" spans="71:74" x14ac:dyDescent="0.35">
      <c r="BS73" s="159">
        <f t="shared" ref="BS73:BT88" si="100">BS70+1</f>
        <v>19</v>
      </c>
      <c r="BT73" s="159">
        <f t="shared" si="100"/>
        <v>20</v>
      </c>
      <c r="BU73" s="166">
        <f t="shared" si="43"/>
        <v>3.6</v>
      </c>
      <c r="BV73" s="167" t="str">
        <f t="shared" ref="BV73" si="101">IF(ISBLANK(INDEX(B$17:B$42,BS73)),BV72,$BV$15)</f>
        <v/>
      </c>
    </row>
    <row r="74" spans="71:74" x14ac:dyDescent="0.35">
      <c r="BS74" s="159">
        <f t="shared" si="100"/>
        <v>20</v>
      </c>
      <c r="BT74" s="159">
        <f t="shared" si="100"/>
        <v>19</v>
      </c>
      <c r="BU74" s="166">
        <f t="shared" si="43"/>
        <v>3.6</v>
      </c>
      <c r="BV74" s="167" t="str">
        <f t="shared" ref="BV74" si="102">INDEX(N$17:N$42,BS74)</f>
        <v/>
      </c>
    </row>
    <row r="75" spans="71:74" x14ac:dyDescent="0.35">
      <c r="BS75" s="159">
        <f t="shared" si="100"/>
        <v>20</v>
      </c>
      <c r="BT75" s="159">
        <f t="shared" si="100"/>
        <v>21</v>
      </c>
      <c r="BU75" s="166">
        <f t="shared" si="43"/>
        <v>3.6</v>
      </c>
      <c r="BV75" s="167" t="str">
        <f t="shared" si="44"/>
        <v/>
      </c>
    </row>
    <row r="76" spans="71:74" x14ac:dyDescent="0.35">
      <c r="BS76" s="159">
        <f t="shared" si="100"/>
        <v>20</v>
      </c>
      <c r="BT76" s="159">
        <f t="shared" si="100"/>
        <v>21</v>
      </c>
      <c r="BU76" s="166">
        <f t="shared" si="43"/>
        <v>3.6</v>
      </c>
      <c r="BV76" s="167" t="str">
        <f t="shared" ref="BV76" si="103">IF(ISBLANK(INDEX(B$17:B$42,BS76)),BV75,$BV$15)</f>
        <v/>
      </c>
    </row>
    <row r="77" spans="71:74" x14ac:dyDescent="0.35">
      <c r="BS77" s="159">
        <f t="shared" si="100"/>
        <v>21</v>
      </c>
      <c r="BT77" s="159">
        <f t="shared" si="100"/>
        <v>20</v>
      </c>
      <c r="BU77" s="166">
        <f t="shared" si="43"/>
        <v>3.6</v>
      </c>
      <c r="BV77" s="167" t="str">
        <f t="shared" ref="BV77" si="104">INDEX(N$17:N$42,BS77)</f>
        <v/>
      </c>
    </row>
    <row r="78" spans="71:74" x14ac:dyDescent="0.35">
      <c r="BS78" s="159">
        <f t="shared" si="100"/>
        <v>21</v>
      </c>
      <c r="BT78" s="159">
        <f t="shared" si="100"/>
        <v>22</v>
      </c>
      <c r="BU78" s="166">
        <f t="shared" si="43"/>
        <v>3.6</v>
      </c>
      <c r="BV78" s="167" t="str">
        <f t="shared" si="44"/>
        <v/>
      </c>
    </row>
    <row r="79" spans="71:74" x14ac:dyDescent="0.35">
      <c r="BS79" s="159">
        <f t="shared" si="100"/>
        <v>21</v>
      </c>
      <c r="BT79" s="159">
        <f t="shared" si="100"/>
        <v>22</v>
      </c>
      <c r="BU79" s="166">
        <f t="shared" si="43"/>
        <v>3.6</v>
      </c>
      <c r="BV79" s="167" t="str">
        <f t="shared" ref="BV79" si="105">IF(ISBLANK(INDEX(B$17:B$42,BS79)),BV78,$BV$15)</f>
        <v/>
      </c>
    </row>
    <row r="80" spans="71:74" x14ac:dyDescent="0.35">
      <c r="BS80" s="159">
        <f t="shared" si="100"/>
        <v>22</v>
      </c>
      <c r="BT80" s="159">
        <f t="shared" si="100"/>
        <v>21</v>
      </c>
      <c r="BU80" s="166">
        <f t="shared" si="43"/>
        <v>3.6</v>
      </c>
      <c r="BV80" s="167" t="str">
        <f t="shared" ref="BV80" si="106">INDEX(N$17:N$42,BS80)</f>
        <v/>
      </c>
    </row>
    <row r="81" spans="71:74" x14ac:dyDescent="0.35">
      <c r="BS81" s="159">
        <f t="shared" si="100"/>
        <v>22</v>
      </c>
      <c r="BT81" s="159">
        <f t="shared" si="100"/>
        <v>23</v>
      </c>
      <c r="BU81" s="166">
        <f t="shared" si="43"/>
        <v>3.6</v>
      </c>
      <c r="BV81" s="167" t="str">
        <f t="shared" si="44"/>
        <v/>
      </c>
    </row>
    <row r="82" spans="71:74" x14ac:dyDescent="0.35">
      <c r="BS82" s="159">
        <f t="shared" si="100"/>
        <v>22</v>
      </c>
      <c r="BT82" s="159">
        <f t="shared" si="100"/>
        <v>23</v>
      </c>
      <c r="BU82" s="166">
        <f t="shared" ref="BU82:BU93" si="107">IF(ISNUMBER(BV82),IF(OR(ISBLANK(INDEX(B$17:B$43,BS82)),ISBLANK(INDEX(B$17:B$43,BT82))),INDEX(B$17:B$43,BS82),(INDEX(B$17:B$43,BS82)+INDEX(B$17:B$43,BT82))/2),BU81)</f>
        <v>3.6</v>
      </c>
      <c r="BV82" s="167" t="str">
        <f t="shared" ref="BV82" si="108">IF(ISBLANK(INDEX(B$17:B$42,BS82)),BV81,$BV$15)</f>
        <v/>
      </c>
    </row>
    <row r="83" spans="71:74" x14ac:dyDescent="0.35">
      <c r="BS83" s="159">
        <f t="shared" si="100"/>
        <v>23</v>
      </c>
      <c r="BT83" s="159">
        <f t="shared" si="100"/>
        <v>22</v>
      </c>
      <c r="BU83" s="166">
        <f t="shared" si="107"/>
        <v>3.6</v>
      </c>
      <c r="BV83" s="167" t="str">
        <f t="shared" ref="BV83:BV93" si="109">INDEX(N$17:N$42,BS83)</f>
        <v/>
      </c>
    </row>
    <row r="84" spans="71:74" x14ac:dyDescent="0.35">
      <c r="BS84" s="159">
        <f t="shared" si="100"/>
        <v>23</v>
      </c>
      <c r="BT84" s="159">
        <f t="shared" si="100"/>
        <v>24</v>
      </c>
      <c r="BU84" s="166">
        <f t="shared" si="107"/>
        <v>3.6</v>
      </c>
      <c r="BV84" s="167" t="str">
        <f t="shared" si="109"/>
        <v/>
      </c>
    </row>
    <row r="85" spans="71:74" x14ac:dyDescent="0.35">
      <c r="BS85" s="159">
        <f t="shared" si="100"/>
        <v>23</v>
      </c>
      <c r="BT85" s="159">
        <f t="shared" si="100"/>
        <v>24</v>
      </c>
      <c r="BU85" s="166">
        <f t="shared" si="107"/>
        <v>3.6</v>
      </c>
      <c r="BV85" s="167" t="str">
        <f t="shared" ref="BV85" si="110">IF(ISBLANK(INDEX(B$17:B$42,BS85)),BV84,$BV$15)</f>
        <v/>
      </c>
    </row>
    <row r="86" spans="71:74" x14ac:dyDescent="0.35">
      <c r="BS86" s="159">
        <f t="shared" si="100"/>
        <v>24</v>
      </c>
      <c r="BT86" s="159">
        <f t="shared" si="100"/>
        <v>23</v>
      </c>
      <c r="BU86" s="166">
        <f t="shared" si="107"/>
        <v>3.6</v>
      </c>
      <c r="BV86" s="167" t="str">
        <f t="shared" ref="BV86" si="111">INDEX(N$17:N$42,BS86)</f>
        <v/>
      </c>
    </row>
    <row r="87" spans="71:74" x14ac:dyDescent="0.35">
      <c r="BS87" s="159">
        <f t="shared" si="100"/>
        <v>24</v>
      </c>
      <c r="BT87" s="159">
        <f t="shared" si="100"/>
        <v>25</v>
      </c>
      <c r="BU87" s="166">
        <f t="shared" si="107"/>
        <v>3.6</v>
      </c>
      <c r="BV87" s="167" t="str">
        <f t="shared" si="109"/>
        <v/>
      </c>
    </row>
    <row r="88" spans="71:74" x14ac:dyDescent="0.35">
      <c r="BS88" s="159">
        <f t="shared" si="100"/>
        <v>24</v>
      </c>
      <c r="BT88" s="159">
        <f t="shared" si="100"/>
        <v>25</v>
      </c>
      <c r="BU88" s="166">
        <f t="shared" si="107"/>
        <v>3.6</v>
      </c>
      <c r="BV88" s="167" t="str">
        <f t="shared" ref="BV88" si="112">IF(ISBLANK(INDEX(B$17:B$42,BS88)),BV87,$BV$15)</f>
        <v/>
      </c>
    </row>
    <row r="89" spans="71:74" x14ac:dyDescent="0.35">
      <c r="BS89" s="159">
        <f t="shared" ref="BS89:BT93" si="113">BS86+1</f>
        <v>25</v>
      </c>
      <c r="BT89" s="159">
        <f t="shared" si="113"/>
        <v>24</v>
      </c>
      <c r="BU89" s="166">
        <f t="shared" si="107"/>
        <v>3.6</v>
      </c>
      <c r="BV89" s="167" t="str">
        <f t="shared" ref="BV89" si="114">INDEX(N$17:N$42,BS89)</f>
        <v/>
      </c>
    </row>
    <row r="90" spans="71:74" x14ac:dyDescent="0.35">
      <c r="BS90" s="159">
        <f t="shared" si="113"/>
        <v>25</v>
      </c>
      <c r="BT90" s="159">
        <f t="shared" si="113"/>
        <v>26</v>
      </c>
      <c r="BU90" s="166">
        <f t="shared" si="107"/>
        <v>3.6</v>
      </c>
      <c r="BV90" s="167" t="str">
        <f t="shared" si="109"/>
        <v/>
      </c>
    </row>
    <row r="91" spans="71:74" x14ac:dyDescent="0.35">
      <c r="BS91" s="159">
        <f t="shared" si="113"/>
        <v>25</v>
      </c>
      <c r="BT91" s="159">
        <f t="shared" si="113"/>
        <v>26</v>
      </c>
      <c r="BU91" s="166">
        <f t="shared" si="107"/>
        <v>3.6</v>
      </c>
      <c r="BV91" s="167" t="str">
        <f t="shared" ref="BV91" si="115">IF(ISBLANK(INDEX(B$17:B$42,BS91)),BV90,$BV$15)</f>
        <v/>
      </c>
    </row>
    <row r="92" spans="71:74" x14ac:dyDescent="0.35">
      <c r="BS92" s="159">
        <f t="shared" si="113"/>
        <v>26</v>
      </c>
      <c r="BT92" s="159">
        <f t="shared" si="113"/>
        <v>25</v>
      </c>
      <c r="BU92" s="166">
        <f t="shared" si="107"/>
        <v>3.6</v>
      </c>
      <c r="BV92" s="167" t="str">
        <f t="shared" ref="BV92" si="116">INDEX(N$17:N$42,BS92)</f>
        <v/>
      </c>
    </row>
    <row r="93" spans="71:74" x14ac:dyDescent="0.35">
      <c r="BS93" s="159">
        <f t="shared" si="113"/>
        <v>26</v>
      </c>
      <c r="BT93" s="159">
        <f t="shared" si="113"/>
        <v>27</v>
      </c>
      <c r="BU93" s="166">
        <f t="shared" si="107"/>
        <v>3.6</v>
      </c>
      <c r="BV93" s="167" t="str">
        <f t="shared" si="109"/>
        <v/>
      </c>
    </row>
    <row r="94" spans="71:74" x14ac:dyDescent="0.35">
      <c r="BU94" s="166"/>
    </row>
    <row r="95" spans="71:74" x14ac:dyDescent="0.35">
      <c r="BU95" s="166"/>
    </row>
    <row r="96" spans="71:74" x14ac:dyDescent="0.35">
      <c r="BU96" s="166"/>
    </row>
    <row r="97" spans="73:73" x14ac:dyDescent="0.35">
      <c r="BU97" s="166"/>
    </row>
    <row r="98" spans="73:73" x14ac:dyDescent="0.35">
      <c r="BU98" s="166"/>
    </row>
  </sheetData>
  <sheetProtection algorithmName="SHA-512" hashValue="wildK2F5MaOGQQHIFb1TaV5UrZUurziiPL5JyPdTokcgdUGgPQuV/BIkagcdrWcSvIXbr9NIKqFQtj1QFvKRlg==" saltValue="oZEiPVOd2WNZ63wvgHJ6zg==" spinCount="100000" sheet="1" objects="1" scenarios="1"/>
  <mergeCells count="28">
    <mergeCell ref="A1:C1"/>
    <mergeCell ref="Z1:AA1"/>
    <mergeCell ref="AD1:AI1"/>
    <mergeCell ref="AQ1:AU1"/>
    <mergeCell ref="B4:C4"/>
    <mergeCell ref="E4:F4"/>
    <mergeCell ref="E2:F2"/>
    <mergeCell ref="A2:C2"/>
    <mergeCell ref="B6:C6"/>
    <mergeCell ref="E6:F6"/>
    <mergeCell ref="H7:M7"/>
    <mergeCell ref="B8:C8"/>
    <mergeCell ref="D8:E8"/>
    <mergeCell ref="J8:K8"/>
    <mergeCell ref="L8:M8"/>
    <mergeCell ref="BB15:BK15"/>
    <mergeCell ref="J9:K9"/>
    <mergeCell ref="L9:M9"/>
    <mergeCell ref="B10:C11"/>
    <mergeCell ref="E10:F11"/>
    <mergeCell ref="H11:H12"/>
    <mergeCell ref="I11:I12"/>
    <mergeCell ref="J11:M11"/>
    <mergeCell ref="Z11:AA11"/>
    <mergeCell ref="B13:C13"/>
    <mergeCell ref="E13:F13"/>
    <mergeCell ref="AD15:AF15"/>
    <mergeCell ref="AG15:AI15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ENG</vt:lpstr>
      <vt:lpstr>FR</vt:lpstr>
      <vt:lpstr>ENG_example</vt:lpstr>
      <vt:lpstr>FR_exemple</vt:lpstr>
    </vt:vector>
  </TitlesOfParts>
  <Company>IRSTEA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Jérôme Le Coz</dc:creator>
  <dc:description/>
  <cp:lastModifiedBy>Jerome Le-Coz</cp:lastModifiedBy>
  <cp:revision>1</cp:revision>
  <cp:lastPrinted>2024-01-04T14:15:49Z</cp:lastPrinted>
  <dcterms:created xsi:type="dcterms:W3CDTF">2017-08-31T16:47:13Z</dcterms:created>
  <dcterms:modified xsi:type="dcterms:W3CDTF">2025-04-16T16:14:33Z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IRSTEA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